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20" windowWidth="19155" windowHeight="7785" activeTab="1"/>
  </bookViews>
  <sheets>
    <sheet name="About" sheetId="1" r:id="rId1"/>
    <sheet name="Directory" sheetId="2" r:id="rId2"/>
    <sheet name="E-Wt (NG-b)" sheetId="3" r:id="rId3"/>
    <sheet name="E-Sb" sheetId="4" r:id="rId4"/>
    <sheet name="F-Rs" sheetId="5" r:id="rId5"/>
    <sheet name="H-Rs" sheetId="6" r:id="rId6"/>
    <sheet name="User defined standard values" sheetId="7" r:id="rId7"/>
    <sheet name="Standard values" sheetId="8" r:id="rId8"/>
  </sheets>
  <definedNames>
    <definedName name="agro_inputs" localSheetId="6">'User defined standard values'!#REF!</definedName>
    <definedName name="agro_inputs">'Standard values'!$C$14:$C$25</definedName>
    <definedName name="chemicals" localSheetId="6">'User defined standard values'!#REF!</definedName>
    <definedName name="chemicals">'Standard values'!$C$71:$C$79</definedName>
    <definedName name="_xlnm.Print_Area" localSheetId="0">'About'!$A$1:$D$89</definedName>
    <definedName name="_xlnm.Print_Area" localSheetId="1">'Directory'!$A$1:$I$31</definedName>
    <definedName name="_xlnm.Print_Area" localSheetId="3">'E-Sb'!$A$1:$N$128</definedName>
    <definedName name="_xlnm.Print_Area" localSheetId="2">'E-Wt (NG-b)'!$A$1:$N$138</definedName>
    <definedName name="_xlnm.Print_Area" localSheetId="4">'F-Rs'!$A$1:$N$190</definedName>
    <definedName name="_xlnm.Print_Area" localSheetId="5">'H-Rs'!$A$1:$N$160</definedName>
    <definedName name="_xlnm.Print_Area" localSheetId="7">'Standard values'!$A$1:$T$131</definedName>
    <definedName name="_xlnm.Print_Area" localSheetId="6">'User defined standard values'!$A$1:$T$28</definedName>
    <definedName name="EF_agro_inputs" localSheetId="6">'User defined standard values'!#REF!</definedName>
    <definedName name="EF_agro_inputs">'Standard values'!$L$14:$L$25</definedName>
    <definedName name="EF_chemicals_kg" localSheetId="6">'User defined standard values'!#REF!</definedName>
    <definedName name="EF_chemicals_kg">'Standard values'!$L$72:$L$79</definedName>
    <definedName name="EF_chemicals_MJ" localSheetId="6">'User defined standard values'!#REF!</definedName>
    <definedName name="EF_chemicals_MJ">'Standard values'!$M$72:$M$79</definedName>
    <definedName name="EF_electricity" localSheetId="6">'User defined standard values'!#REF!</definedName>
    <definedName name="EF_electricity">'Standard values'!$M$67:$M$69</definedName>
    <definedName name="EF_fuels_MJ" localSheetId="6">'User defined standard values'!#REF!</definedName>
    <definedName name="EF_fuels_MJ">'Standard values'!$M$29:$M$41</definedName>
    <definedName name="electricity" localSheetId="6">'User defined standard values'!#REF!</definedName>
    <definedName name="electricity">'Standard values'!$C$67:$C$69</definedName>
    <definedName name="FE_transport" localSheetId="6">'User defined standard values'!#REF!</definedName>
    <definedName name="FE_transport">'Standard values'!$P$87:$P$93</definedName>
    <definedName name="fuels" localSheetId="6">'User defined standard values'!#REF!</definedName>
    <definedName name="fuels">'Standard values'!$C$29:$C$41</definedName>
    <definedName name="LHV_fuels" localSheetId="6">'User defined standard values'!#REF!</definedName>
    <definedName name="LHV_fuels">'Standard values'!$O$29:$O$39</definedName>
    <definedName name="LHV_solids" localSheetId="6">'User defined standard values'!#REF!</definedName>
    <definedName name="LHV_solids">'Standard values'!$O$42:$O$65</definedName>
    <definedName name="Option_A_0_B_1">'About'!$B$76</definedName>
    <definedName name="solids" localSheetId="6">'User defined standard values'!#REF!</definedName>
    <definedName name="solids">'Standard values'!$C$42:$C$65</definedName>
    <definedName name="Transport" localSheetId="6">'User defined standard values'!#REF!</definedName>
    <definedName name="Transport">'Standard values'!$C$87:$C$93</definedName>
  </definedNames>
  <calcPr fullCalcOnLoad="1"/>
</workbook>
</file>

<file path=xl/comments3.xml><?xml version="1.0" encoding="utf-8"?>
<comments xmlns="http://schemas.openxmlformats.org/spreadsheetml/2006/main">
  <authors>
    <author>sbu</author>
    <author>neeft</author>
  </authors>
  <commentList>
    <comment ref="C107" authorId="0">
      <text>
        <r>
          <rPr>
            <sz val="10"/>
            <rFont val="Arial"/>
            <family val="2"/>
          </rPr>
          <t>Annualised emissions from carbon stock changes caused by land-use change, e</t>
        </r>
        <r>
          <rPr>
            <vertAlign val="subscript"/>
            <sz val="10"/>
            <rFont val="Arial"/>
            <family val="2"/>
          </rPr>
          <t>l</t>
        </r>
        <r>
          <rPr>
            <sz val="10"/>
            <rFont val="Arial"/>
            <family val="2"/>
          </rPr>
          <t>, shall be calculated by dividing total emissions equally over 20 years. For the calculation of those emissions the following rule shall be applied:
e</t>
        </r>
        <r>
          <rPr>
            <vertAlign val="subscript"/>
            <sz val="10"/>
            <rFont val="Arial"/>
            <family val="2"/>
          </rPr>
          <t>l</t>
        </r>
        <r>
          <rPr>
            <sz val="10"/>
            <rFont val="Arial"/>
            <family val="2"/>
          </rPr>
          <t xml:space="preserve"> = (CS</t>
        </r>
        <r>
          <rPr>
            <vertAlign val="subscript"/>
            <sz val="10"/>
            <rFont val="Arial"/>
            <family val="2"/>
          </rPr>
          <t>R</t>
        </r>
        <r>
          <rPr>
            <sz val="10"/>
            <rFont val="Arial"/>
            <family val="2"/>
          </rPr>
          <t xml:space="preserve"> – CS</t>
        </r>
        <r>
          <rPr>
            <vertAlign val="subscript"/>
            <sz val="10"/>
            <rFont val="Arial"/>
            <family val="2"/>
          </rPr>
          <t>A</t>
        </r>
        <r>
          <rPr>
            <sz val="10"/>
            <rFont val="Arial"/>
            <family val="2"/>
          </rPr>
          <t>) × 3,664 × 1/20 × 1/P – e</t>
        </r>
        <r>
          <rPr>
            <vertAlign val="subscript"/>
            <sz val="10"/>
            <rFont val="Arial"/>
            <family val="2"/>
          </rPr>
          <t>B</t>
        </r>
        <r>
          <rPr>
            <vertAlign val="superscript"/>
            <sz val="10"/>
            <rFont val="Arial"/>
            <family val="2"/>
          </rPr>
          <t>(1)</t>
        </r>
        <r>
          <rPr>
            <sz val="10"/>
            <rFont val="Arial"/>
            <family val="2"/>
          </rPr>
          <t xml:space="preserve">
where
e</t>
        </r>
        <r>
          <rPr>
            <vertAlign val="subscript"/>
            <sz val="10"/>
            <rFont val="Arial"/>
            <family val="2"/>
          </rPr>
          <t>l</t>
        </r>
        <r>
          <rPr>
            <sz val="10"/>
            <rFont val="Arial"/>
            <family val="2"/>
          </rPr>
          <t xml:space="preserve"> = annualised greenhouse gas emissions from carbon stock change due to land-use change (measured as mass of CO</t>
        </r>
        <r>
          <rPr>
            <vertAlign val="subscript"/>
            <sz val="10"/>
            <rFont val="Arial"/>
            <family val="2"/>
          </rPr>
          <t>2</t>
        </r>
        <r>
          <rPr>
            <sz val="10"/>
            <rFont val="Arial"/>
            <family val="2"/>
          </rPr>
          <t>-equivalent per unit biofuel energy);
CS</t>
        </r>
        <r>
          <rPr>
            <vertAlign val="subscript"/>
            <sz val="10"/>
            <rFont val="Arial"/>
            <family val="2"/>
          </rPr>
          <t>R</t>
        </r>
        <r>
          <rPr>
            <sz val="10"/>
            <rFont val="Arial"/>
            <family val="2"/>
          </rPr>
          <t xml:space="preserve"> = the carbon stock per unit area associated with the reference land use (measured as mass of carbon per unit area, including both soil and vegetation). The reference land use shall be the land use in January 2008 or 20 years before the raw material was obtained, whichever was the later;
CS</t>
        </r>
        <r>
          <rPr>
            <vertAlign val="subscript"/>
            <sz val="10"/>
            <rFont val="Arial"/>
            <family val="2"/>
          </rPr>
          <t>A</t>
        </r>
        <r>
          <rPr>
            <sz val="10"/>
            <rFont val="Arial"/>
            <family val="2"/>
          </rPr>
          <t xml:space="preserve"> =the carbon stock per unit area associated with the actual land use (measured as mass of carbon per unit area, including both soil and vegetation). In cases where the carbon stock accumulates over more than one year, the value attributed to CS</t>
        </r>
        <r>
          <rPr>
            <vertAlign val="subscript"/>
            <sz val="10"/>
            <rFont val="Arial"/>
            <family val="2"/>
          </rPr>
          <t>A</t>
        </r>
        <r>
          <rPr>
            <sz val="10"/>
            <rFont val="Arial"/>
            <family val="2"/>
          </rPr>
          <t xml:space="preserve"> shall be the estimated stock per unit area after 20 years or when the crop reaches maturity, whichever the earlier;
P =the productivity of the crop (measured as biofuel or bioliquid energy per unit area per year); and
e</t>
        </r>
        <r>
          <rPr>
            <vertAlign val="subscript"/>
            <sz val="10"/>
            <rFont val="Arial"/>
            <family val="2"/>
          </rPr>
          <t>B</t>
        </r>
        <r>
          <rPr>
            <sz val="10"/>
            <rFont val="Arial"/>
            <family val="2"/>
          </rPr>
          <t xml:space="preserve"> =bonus of 29 gCO</t>
        </r>
        <r>
          <rPr>
            <vertAlign val="subscript"/>
            <sz val="10"/>
            <rFont val="Arial"/>
            <family val="2"/>
          </rPr>
          <t>2eq</t>
        </r>
        <r>
          <rPr>
            <sz val="10"/>
            <rFont val="Arial"/>
            <family val="2"/>
          </rPr>
          <t>/MJ biofuel or bioliquid if biomass is obtained from restored degraded land under the conditions provided for in point 8.
8.
The bonus of 29 gCO</t>
        </r>
        <r>
          <rPr>
            <vertAlign val="subscript"/>
            <sz val="10"/>
            <rFont val="Arial"/>
            <family val="2"/>
          </rPr>
          <t>2eq</t>
        </r>
        <r>
          <rPr>
            <sz val="10"/>
            <rFont val="Arial"/>
            <family val="2"/>
          </rPr>
          <t>/MJ shall be attributed if evidence is provided that the land:
(a) was not in use for agriculture or any other activity in January 2008; and
(b) falls into one of the following categories:
   (i) severely degraded land, including such land that was formerly in agricultural use;
   (ii) heavily contaminated land.
The bonus of 29 gCO</t>
        </r>
        <r>
          <rPr>
            <vertAlign val="subscript"/>
            <sz val="10"/>
            <rFont val="Arial"/>
            <family val="2"/>
          </rPr>
          <t>2eq</t>
        </r>
        <r>
          <rPr>
            <sz val="10"/>
            <rFont val="Arial"/>
            <family val="2"/>
          </rPr>
          <t>/MJ shall apply for a period of up to 10 years from the date of conversion of the land to agricultural use, provided that a steady increase in carbon stocks as well as a sizable reduction in erosion phenomena for land falling under (i) are ensured and that soil contamination for land falling under (ii) is reduced.
9.
The categories referred to in point 8(b) are defined as follows:
(a) ‘severely degraded land’ means land that, for a significant period of time, has either been significantly salinated or presented significantly low organic matter content and has been severely eroded;
(b) ‘heavily contaminated land’ means land that is unfit for the cultivation of food and feed due to soil contamination.
Such land shall include land that has been the subject of a Commission decision in accordance with the fourth subparagraph of Article 18(4).</t>
        </r>
        <r>
          <rPr>
            <sz val="8"/>
            <rFont val="Tahoma"/>
            <family val="0"/>
          </rPr>
          <t xml:space="preserve">
</t>
        </r>
        <r>
          <rPr>
            <sz val="10"/>
            <rFont val="Arial"/>
            <family val="2"/>
          </rPr>
          <t xml:space="preserve">
</t>
        </r>
        <r>
          <rPr>
            <vertAlign val="superscript"/>
            <sz val="10"/>
            <rFont val="Arial"/>
            <family val="2"/>
          </rPr>
          <t>(1)</t>
        </r>
        <r>
          <rPr>
            <vertAlign val="subscript"/>
            <sz val="10"/>
            <rFont val="Arial"/>
            <family val="2"/>
          </rPr>
          <t xml:space="preserve"> </t>
        </r>
        <r>
          <rPr>
            <sz val="10"/>
            <rFont val="Arial"/>
            <family val="2"/>
          </rPr>
          <t xml:space="preserve"> The quotient obtained by dividing the molecular weight of CO</t>
        </r>
        <r>
          <rPr>
            <vertAlign val="subscript"/>
            <sz val="10"/>
            <rFont val="Arial"/>
            <family val="2"/>
          </rPr>
          <t>2</t>
        </r>
        <r>
          <rPr>
            <sz val="10"/>
            <rFont val="Arial"/>
            <family val="2"/>
          </rPr>
          <t xml:space="preserve"> (44,010 g/mol) by the molecular weight of carbon (12,011 g/mol) is equal to 3,664.</t>
        </r>
      </text>
    </comment>
    <comment ref="C119" authorId="0">
      <text>
        <r>
          <rPr>
            <sz val="10"/>
            <rFont val="Arial"/>
            <family val="2"/>
          </rPr>
          <t>Emission saving from carbon capture and replacement, e</t>
        </r>
        <r>
          <rPr>
            <vertAlign val="subscript"/>
            <sz val="10"/>
            <rFont val="Arial"/>
            <family val="2"/>
          </rPr>
          <t>ccr</t>
        </r>
        <r>
          <rPr>
            <sz val="10"/>
            <rFont val="Arial"/>
            <family val="2"/>
          </rPr>
          <t>, shall be limited to emissions avoided through the capture of CO</t>
        </r>
        <r>
          <rPr>
            <vertAlign val="subscript"/>
            <sz val="10"/>
            <rFont val="Arial"/>
            <family val="2"/>
          </rPr>
          <t>2</t>
        </r>
        <r>
          <rPr>
            <sz val="10"/>
            <rFont val="Arial"/>
            <family val="2"/>
          </rPr>
          <t xml:space="preserve"> of which the carbon originates from biomass and which is used to replace fossil-derived CO</t>
        </r>
        <r>
          <rPr>
            <vertAlign val="subscript"/>
            <sz val="10"/>
            <rFont val="Arial"/>
            <family val="2"/>
          </rPr>
          <t>2</t>
        </r>
        <r>
          <rPr>
            <sz val="10"/>
            <rFont val="Arial"/>
            <family val="2"/>
          </rPr>
          <t xml:space="preserve"> used in commercial products and services.</t>
        </r>
      </text>
    </comment>
    <comment ref="C125" authorId="0">
      <text>
        <r>
          <rPr>
            <sz val="10"/>
            <rFont val="Arial"/>
            <family val="2"/>
          </rPr>
          <t>Emission saving from carbon capture and geological storage e</t>
        </r>
        <r>
          <rPr>
            <vertAlign val="subscript"/>
            <sz val="10"/>
            <rFont val="Arial"/>
            <family val="2"/>
          </rPr>
          <t>ccs</t>
        </r>
        <r>
          <rPr>
            <sz val="10"/>
            <rFont val="Arial"/>
            <family val="2"/>
          </rPr>
          <t>, that have not already been accounted for in e</t>
        </r>
        <r>
          <rPr>
            <vertAlign val="subscript"/>
            <sz val="10"/>
            <rFont val="Arial"/>
            <family val="2"/>
          </rPr>
          <t>p</t>
        </r>
        <r>
          <rPr>
            <sz val="10"/>
            <rFont val="Arial"/>
            <family val="2"/>
          </rPr>
          <t>, shall be limited to emissions avoided through the capture and sequestration of emitted CO</t>
        </r>
        <r>
          <rPr>
            <vertAlign val="subscript"/>
            <sz val="10"/>
            <rFont val="Arial"/>
            <family val="2"/>
          </rPr>
          <t>2</t>
        </r>
        <r>
          <rPr>
            <sz val="10"/>
            <rFont val="Arial"/>
            <family val="2"/>
          </rPr>
          <t xml:space="preserve"> directly related to the extraction, transport, processing and distribution of fuel.</t>
        </r>
      </text>
    </comment>
    <comment ref="C113" authorId="0">
      <text>
        <r>
          <rPr>
            <sz val="10"/>
            <rFont val="Arial"/>
            <family val="2"/>
          </rPr>
          <t>Emission saving from improved agricultural management, esca, should only be calculated if no land use change have taken place (so when e</t>
        </r>
        <r>
          <rPr>
            <vertAlign val="subscript"/>
            <sz val="10"/>
            <rFont val="Arial"/>
            <family val="2"/>
          </rPr>
          <t>l</t>
        </r>
        <r>
          <rPr>
            <sz val="10"/>
            <rFont val="Arial"/>
            <family val="2"/>
          </rPr>
          <t xml:space="preserve"> = 0) and can be calculated following the calculation for land use change, but excluding vegetation (so for soil organic carbon only).</t>
        </r>
      </text>
    </comment>
    <comment ref="G7" authorId="1">
      <text>
        <r>
          <rPr>
            <sz val="8"/>
            <rFont val="Tahoma"/>
            <family val="2"/>
          </rPr>
          <t>This value is not listed in the RED. 
It has been calculated on the basis of the JEC input, as is explained in "About"</t>
        </r>
      </text>
    </comment>
    <comment ref="G9" authorId="1">
      <text>
        <r>
          <rPr>
            <sz val="8"/>
            <rFont val="Tahoma"/>
            <family val="2"/>
          </rPr>
          <t>This value is not listed in the RED. 
It has been calculated on the basis of the JEC input, as is explained in "About"</t>
        </r>
      </text>
    </comment>
    <comment ref="G13" authorId="1">
      <text>
        <r>
          <rPr>
            <sz val="8"/>
            <rFont val="Tahoma"/>
            <family val="2"/>
          </rPr>
          <t>This value is not listed in the RED. 
It has been calculated on the basis of the JEC input, as is explained in "About"</t>
        </r>
      </text>
    </comment>
    <comment ref="G14" authorId="1">
      <text>
        <r>
          <rPr>
            <sz val="8"/>
            <rFont val="Tahoma"/>
            <family val="2"/>
          </rPr>
          <t>This value is not listed in the RED. 
It has been calculated on the basis of the JEC input, as is explained in "About"</t>
        </r>
      </text>
    </comment>
    <comment ref="G11" authorId="1">
      <text>
        <r>
          <rPr>
            <sz val="8"/>
            <rFont val="Tahoma"/>
            <family val="2"/>
          </rPr>
          <t>This value is not listed in the RED. 
It has been calculated on the basis of the JEC input, as is explained in "About"</t>
        </r>
      </text>
    </comment>
    <comment ref="C69" authorId="1">
      <text>
        <r>
          <rPr>
            <sz val="8"/>
            <rFont val="Tahoma"/>
            <family val="2"/>
          </rPr>
          <t>Factor 1,4 is to convert "typical value" into "default value</t>
        </r>
      </text>
    </comment>
    <comment ref="C70" authorId="1">
      <text>
        <r>
          <rPr>
            <sz val="8"/>
            <rFont val="Tahoma"/>
            <family val="2"/>
          </rPr>
          <t>Factor 1,4 is to convert "typical value" into "default value</t>
        </r>
      </text>
    </comment>
  </commentList>
</comments>
</file>

<file path=xl/comments4.xml><?xml version="1.0" encoding="utf-8"?>
<comments xmlns="http://schemas.openxmlformats.org/spreadsheetml/2006/main">
  <authors>
    <author>sbu</author>
    <author>neeft</author>
  </authors>
  <commentList>
    <comment ref="C97" authorId="0">
      <text>
        <r>
          <rPr>
            <sz val="10"/>
            <rFont val="Arial"/>
            <family val="2"/>
          </rPr>
          <t>Annualised emissions from carbon stock changes caused by land-use change, e</t>
        </r>
        <r>
          <rPr>
            <vertAlign val="subscript"/>
            <sz val="10"/>
            <rFont val="Arial"/>
            <family val="2"/>
          </rPr>
          <t>l</t>
        </r>
        <r>
          <rPr>
            <sz val="10"/>
            <rFont val="Arial"/>
            <family val="2"/>
          </rPr>
          <t>, shall be calculated by dividing total emissions equally over 20 years. For the calculation of those emissions the following rule shall be applied:
e</t>
        </r>
        <r>
          <rPr>
            <vertAlign val="subscript"/>
            <sz val="10"/>
            <rFont val="Arial"/>
            <family val="2"/>
          </rPr>
          <t>l</t>
        </r>
        <r>
          <rPr>
            <sz val="10"/>
            <rFont val="Arial"/>
            <family val="2"/>
          </rPr>
          <t xml:space="preserve"> = (CS</t>
        </r>
        <r>
          <rPr>
            <vertAlign val="subscript"/>
            <sz val="10"/>
            <rFont val="Arial"/>
            <family val="2"/>
          </rPr>
          <t>R</t>
        </r>
        <r>
          <rPr>
            <sz val="10"/>
            <rFont val="Arial"/>
            <family val="2"/>
          </rPr>
          <t xml:space="preserve"> – CS</t>
        </r>
        <r>
          <rPr>
            <vertAlign val="subscript"/>
            <sz val="10"/>
            <rFont val="Arial"/>
            <family val="2"/>
          </rPr>
          <t>A</t>
        </r>
        <r>
          <rPr>
            <sz val="10"/>
            <rFont val="Arial"/>
            <family val="2"/>
          </rPr>
          <t>) × 3,664 × 1/20 × 1/P – e</t>
        </r>
        <r>
          <rPr>
            <vertAlign val="subscript"/>
            <sz val="10"/>
            <rFont val="Arial"/>
            <family val="2"/>
          </rPr>
          <t>B</t>
        </r>
        <r>
          <rPr>
            <vertAlign val="superscript"/>
            <sz val="10"/>
            <rFont val="Arial"/>
            <family val="2"/>
          </rPr>
          <t>(1)</t>
        </r>
        <r>
          <rPr>
            <sz val="10"/>
            <rFont val="Arial"/>
            <family val="2"/>
          </rPr>
          <t xml:space="preserve">
where
e</t>
        </r>
        <r>
          <rPr>
            <vertAlign val="subscript"/>
            <sz val="10"/>
            <rFont val="Arial"/>
            <family val="2"/>
          </rPr>
          <t>l</t>
        </r>
        <r>
          <rPr>
            <sz val="10"/>
            <rFont val="Arial"/>
            <family val="2"/>
          </rPr>
          <t xml:space="preserve"> = annualised greenhouse gas emissions from carbon stock change due to land-use change (measured as mass of CO</t>
        </r>
        <r>
          <rPr>
            <vertAlign val="subscript"/>
            <sz val="10"/>
            <rFont val="Arial"/>
            <family val="2"/>
          </rPr>
          <t>2</t>
        </r>
        <r>
          <rPr>
            <sz val="10"/>
            <rFont val="Arial"/>
            <family val="2"/>
          </rPr>
          <t>-equivalent per unit biofuel energy);
CS</t>
        </r>
        <r>
          <rPr>
            <vertAlign val="subscript"/>
            <sz val="10"/>
            <rFont val="Arial"/>
            <family val="2"/>
          </rPr>
          <t>R</t>
        </r>
        <r>
          <rPr>
            <sz val="10"/>
            <rFont val="Arial"/>
            <family val="2"/>
          </rPr>
          <t xml:space="preserve"> = the carbon stock per unit area associated with the reference land use (measured as mass of carbon per unit area, including both soil and vegetation). The reference land use shall be the land use in January 2008 or 20 years before the raw material was obtained, whichever was the later;
CS</t>
        </r>
        <r>
          <rPr>
            <vertAlign val="subscript"/>
            <sz val="10"/>
            <rFont val="Arial"/>
            <family val="2"/>
          </rPr>
          <t>A</t>
        </r>
        <r>
          <rPr>
            <sz val="10"/>
            <rFont val="Arial"/>
            <family val="2"/>
          </rPr>
          <t xml:space="preserve"> =the carbon stock per unit area associated with the actual land use (measured as mass of carbon per unit area, including both soil and vegetation). In cases where the carbon stock accumulates over more than one year, the value attributed to CS</t>
        </r>
        <r>
          <rPr>
            <vertAlign val="subscript"/>
            <sz val="10"/>
            <rFont val="Arial"/>
            <family val="2"/>
          </rPr>
          <t>A</t>
        </r>
        <r>
          <rPr>
            <sz val="10"/>
            <rFont val="Arial"/>
            <family val="2"/>
          </rPr>
          <t xml:space="preserve"> shall be the estimated stock per unit area after 20 years or when the crop reaches maturity, whichever the earlier;
P =the productivity of the crop (measured as biofuel or bioliquid energy per unit area per year); and
e</t>
        </r>
        <r>
          <rPr>
            <vertAlign val="subscript"/>
            <sz val="10"/>
            <rFont val="Arial"/>
            <family val="2"/>
          </rPr>
          <t>B</t>
        </r>
        <r>
          <rPr>
            <sz val="10"/>
            <rFont val="Arial"/>
            <family val="2"/>
          </rPr>
          <t xml:space="preserve"> =bonus of 29 gCO</t>
        </r>
        <r>
          <rPr>
            <vertAlign val="subscript"/>
            <sz val="10"/>
            <rFont val="Arial"/>
            <family val="2"/>
          </rPr>
          <t>2eq</t>
        </r>
        <r>
          <rPr>
            <sz val="10"/>
            <rFont val="Arial"/>
            <family val="2"/>
          </rPr>
          <t>/MJ biofuel or bioliquid if biomass is obtained from restored degraded land under the conditions provided for in point 8.
8.
The bonus of 29 gCO</t>
        </r>
        <r>
          <rPr>
            <vertAlign val="subscript"/>
            <sz val="10"/>
            <rFont val="Arial"/>
            <family val="2"/>
          </rPr>
          <t>2eq</t>
        </r>
        <r>
          <rPr>
            <sz val="10"/>
            <rFont val="Arial"/>
            <family val="2"/>
          </rPr>
          <t>/MJ shall be attributed if evidence is provided that the land:
(a) was not in use for agriculture or any other activity in January 2008; and
(b) falls into one of the following categories:
   (i) severely degraded land, including such land that was formerly in agricultural use;
   (ii) heavily contaminated land.
The bonus of 29 gCO</t>
        </r>
        <r>
          <rPr>
            <vertAlign val="subscript"/>
            <sz val="10"/>
            <rFont val="Arial"/>
            <family val="2"/>
          </rPr>
          <t>2eq</t>
        </r>
        <r>
          <rPr>
            <sz val="10"/>
            <rFont val="Arial"/>
            <family val="2"/>
          </rPr>
          <t>/MJ shall apply for a period of up to 10 years from the date of conversion of the land to agricultural use, provided that a steady increase in carbon stocks as well as a sizable reduction in erosion phenomena for land falling under (i) are ensured and that soil contamination for land falling under (ii) is reduced.
9.
The categories referred to in point 8(b) are defined as follows:
(a) ‘severely degraded land’ means land that, for a significant period of time, has either been significantly salinated or presented significantly low organic matter content and has been severely eroded;
(b) ‘heavily contaminated land’ means land that is unfit for the cultivation of food and feed due to soil contamination.
Such land shall include land that has been the subject of a Commission decision in accordance with the fourth subparagraph of Article 18(4).</t>
        </r>
        <r>
          <rPr>
            <sz val="8"/>
            <rFont val="Tahoma"/>
            <family val="0"/>
          </rPr>
          <t xml:space="preserve">
</t>
        </r>
        <r>
          <rPr>
            <sz val="10"/>
            <rFont val="Arial"/>
            <family val="2"/>
          </rPr>
          <t xml:space="preserve">
</t>
        </r>
        <r>
          <rPr>
            <vertAlign val="superscript"/>
            <sz val="10"/>
            <rFont val="Arial"/>
            <family val="2"/>
          </rPr>
          <t>(1)</t>
        </r>
        <r>
          <rPr>
            <vertAlign val="subscript"/>
            <sz val="10"/>
            <rFont val="Arial"/>
            <family val="2"/>
          </rPr>
          <t xml:space="preserve"> </t>
        </r>
        <r>
          <rPr>
            <sz val="10"/>
            <rFont val="Arial"/>
            <family val="2"/>
          </rPr>
          <t xml:space="preserve"> The quotient obtained by dividing the molecular weight of CO</t>
        </r>
        <r>
          <rPr>
            <vertAlign val="subscript"/>
            <sz val="10"/>
            <rFont val="Arial"/>
            <family val="2"/>
          </rPr>
          <t>2</t>
        </r>
        <r>
          <rPr>
            <sz val="10"/>
            <rFont val="Arial"/>
            <family val="2"/>
          </rPr>
          <t xml:space="preserve"> (44,010 g/mol) by the molecular weight of carbon (12,011 g/mol) is equal to 3,664.</t>
        </r>
      </text>
    </comment>
    <comment ref="C109" authorId="0">
      <text>
        <r>
          <rPr>
            <sz val="10"/>
            <rFont val="Arial"/>
            <family val="2"/>
          </rPr>
          <t>Emission saving from carbon capture and replacement, e</t>
        </r>
        <r>
          <rPr>
            <vertAlign val="subscript"/>
            <sz val="10"/>
            <rFont val="Arial"/>
            <family val="2"/>
          </rPr>
          <t>ccr</t>
        </r>
        <r>
          <rPr>
            <sz val="10"/>
            <rFont val="Arial"/>
            <family val="2"/>
          </rPr>
          <t>, shall be limited to emissions avoided through the capture of CO</t>
        </r>
        <r>
          <rPr>
            <vertAlign val="subscript"/>
            <sz val="10"/>
            <rFont val="Arial"/>
            <family val="2"/>
          </rPr>
          <t>2</t>
        </r>
        <r>
          <rPr>
            <sz val="10"/>
            <rFont val="Arial"/>
            <family val="2"/>
          </rPr>
          <t xml:space="preserve"> of which the carbon originates from biomass and which is used to replace fossil-derived CO</t>
        </r>
        <r>
          <rPr>
            <vertAlign val="subscript"/>
            <sz val="10"/>
            <rFont val="Arial"/>
            <family val="2"/>
          </rPr>
          <t>2</t>
        </r>
        <r>
          <rPr>
            <sz val="10"/>
            <rFont val="Arial"/>
            <family val="2"/>
          </rPr>
          <t xml:space="preserve"> used in commercial products and services.</t>
        </r>
      </text>
    </comment>
    <comment ref="C115" authorId="0">
      <text>
        <r>
          <rPr>
            <sz val="10"/>
            <rFont val="Arial"/>
            <family val="2"/>
          </rPr>
          <t>Emission saving from carbon capture and geological storage e</t>
        </r>
        <r>
          <rPr>
            <vertAlign val="subscript"/>
            <sz val="10"/>
            <rFont val="Arial"/>
            <family val="2"/>
          </rPr>
          <t>ccs</t>
        </r>
        <r>
          <rPr>
            <sz val="10"/>
            <rFont val="Arial"/>
            <family val="2"/>
          </rPr>
          <t>, that have not already been accounted for in e</t>
        </r>
        <r>
          <rPr>
            <vertAlign val="subscript"/>
            <sz val="10"/>
            <rFont val="Arial"/>
            <family val="2"/>
          </rPr>
          <t>p</t>
        </r>
        <r>
          <rPr>
            <sz val="10"/>
            <rFont val="Arial"/>
            <family val="2"/>
          </rPr>
          <t>, shall be limited to emissions avoided through the capture and sequestration of emitted CO</t>
        </r>
        <r>
          <rPr>
            <vertAlign val="subscript"/>
            <sz val="10"/>
            <rFont val="Arial"/>
            <family val="2"/>
          </rPr>
          <t>2</t>
        </r>
        <r>
          <rPr>
            <sz val="10"/>
            <rFont val="Arial"/>
            <family val="2"/>
          </rPr>
          <t xml:space="preserve"> directly related to the extraction, transport, processing and distribution of fuel.</t>
        </r>
      </text>
    </comment>
    <comment ref="C103" authorId="0">
      <text>
        <r>
          <rPr>
            <sz val="10"/>
            <rFont val="Arial"/>
            <family val="2"/>
          </rPr>
          <t>Emission saving from improved agricultural management, esca, should only be calculated if no land use change have taken place (so when e</t>
        </r>
        <r>
          <rPr>
            <vertAlign val="subscript"/>
            <sz val="10"/>
            <rFont val="Arial"/>
            <family val="2"/>
          </rPr>
          <t>l</t>
        </r>
        <r>
          <rPr>
            <sz val="10"/>
            <rFont val="Arial"/>
            <family val="2"/>
          </rPr>
          <t xml:space="preserve"> = 0) and can be calculated following the calculation for land use change, but excluding vegetation (so for soil organic carbon only).</t>
        </r>
      </text>
    </comment>
    <comment ref="G7" authorId="1">
      <text>
        <r>
          <rPr>
            <sz val="8"/>
            <rFont val="Tahoma"/>
            <family val="2"/>
          </rPr>
          <t>This value is not listed in the RED. 
It has been calculated on the basis of the JEC input, as is explained in "About"</t>
        </r>
      </text>
    </comment>
    <comment ref="G9" authorId="1">
      <text>
        <r>
          <rPr>
            <sz val="8"/>
            <rFont val="Tahoma"/>
            <family val="2"/>
          </rPr>
          <t>This value is not listed in the RED. 
It has been calculated on the basis of the JEC input, as is explained in "About"</t>
        </r>
      </text>
    </comment>
    <comment ref="G12" authorId="1">
      <text>
        <r>
          <rPr>
            <sz val="8"/>
            <rFont val="Tahoma"/>
            <family val="2"/>
          </rPr>
          <t>This value is not listed in the RED. 
It has been calculated on the basis of the JEC input, as is explained in "About"</t>
        </r>
      </text>
    </comment>
    <comment ref="G13" authorId="1">
      <text>
        <r>
          <rPr>
            <sz val="8"/>
            <rFont val="Tahoma"/>
            <family val="2"/>
          </rPr>
          <t>This value is not listed in the RED. 
It has been calculated on the basis of the JEC input, as is explained in "About"</t>
        </r>
      </text>
    </comment>
    <comment ref="G11" authorId="1">
      <text>
        <r>
          <rPr>
            <sz val="8"/>
            <rFont val="Tahoma"/>
            <family val="2"/>
          </rPr>
          <t>This value is not listed in the RED. 
It has been calculated on the basis of the JEC input, as is explained in "About"</t>
        </r>
      </text>
    </comment>
    <comment ref="C59" authorId="1">
      <text>
        <r>
          <rPr>
            <sz val="8"/>
            <rFont val="Tahoma"/>
            <family val="2"/>
          </rPr>
          <t>Factor 1,4 is to convert "typical value" into "default value</t>
        </r>
      </text>
    </comment>
    <comment ref="C60" authorId="1">
      <text>
        <r>
          <rPr>
            <sz val="8"/>
            <rFont val="Tahoma"/>
            <family val="2"/>
          </rPr>
          <t>Factor 1,4 is to convert "typical value" into "default value</t>
        </r>
      </text>
    </comment>
  </commentList>
</comments>
</file>

<file path=xl/comments5.xml><?xml version="1.0" encoding="utf-8"?>
<comments xmlns="http://schemas.openxmlformats.org/spreadsheetml/2006/main">
  <authors>
    <author>sbu</author>
    <author>neeft</author>
  </authors>
  <commentList>
    <comment ref="C159" authorId="0">
      <text>
        <r>
          <rPr>
            <sz val="10"/>
            <rFont val="Arial"/>
            <family val="2"/>
          </rPr>
          <t>Annualised emissions from carbon stock changes caused by land-use change, e</t>
        </r>
        <r>
          <rPr>
            <vertAlign val="subscript"/>
            <sz val="10"/>
            <rFont val="Arial"/>
            <family val="2"/>
          </rPr>
          <t>l</t>
        </r>
        <r>
          <rPr>
            <sz val="10"/>
            <rFont val="Arial"/>
            <family val="2"/>
          </rPr>
          <t>, shall be calculated by dividing total emissions equally over 20 years. For the calculation of those emissions the following rule shall be applied:
e</t>
        </r>
        <r>
          <rPr>
            <vertAlign val="subscript"/>
            <sz val="10"/>
            <rFont val="Arial"/>
            <family val="2"/>
          </rPr>
          <t>l</t>
        </r>
        <r>
          <rPr>
            <sz val="10"/>
            <rFont val="Arial"/>
            <family val="2"/>
          </rPr>
          <t xml:space="preserve"> = (CS</t>
        </r>
        <r>
          <rPr>
            <vertAlign val="subscript"/>
            <sz val="10"/>
            <rFont val="Arial"/>
            <family val="2"/>
          </rPr>
          <t>R</t>
        </r>
        <r>
          <rPr>
            <sz val="10"/>
            <rFont val="Arial"/>
            <family val="2"/>
          </rPr>
          <t xml:space="preserve"> – CS</t>
        </r>
        <r>
          <rPr>
            <vertAlign val="subscript"/>
            <sz val="10"/>
            <rFont val="Arial"/>
            <family val="2"/>
          </rPr>
          <t>A</t>
        </r>
        <r>
          <rPr>
            <sz val="10"/>
            <rFont val="Arial"/>
            <family val="2"/>
          </rPr>
          <t>) × 3,664 × 1/20 × 1/P – e</t>
        </r>
        <r>
          <rPr>
            <vertAlign val="subscript"/>
            <sz val="10"/>
            <rFont val="Arial"/>
            <family val="2"/>
          </rPr>
          <t>B</t>
        </r>
        <r>
          <rPr>
            <vertAlign val="superscript"/>
            <sz val="10"/>
            <rFont val="Arial"/>
            <family val="2"/>
          </rPr>
          <t>(1)</t>
        </r>
        <r>
          <rPr>
            <sz val="10"/>
            <rFont val="Arial"/>
            <family val="2"/>
          </rPr>
          <t xml:space="preserve">
where
e</t>
        </r>
        <r>
          <rPr>
            <vertAlign val="subscript"/>
            <sz val="10"/>
            <rFont val="Arial"/>
            <family val="2"/>
          </rPr>
          <t>l</t>
        </r>
        <r>
          <rPr>
            <sz val="10"/>
            <rFont val="Arial"/>
            <family val="2"/>
          </rPr>
          <t xml:space="preserve"> = annualised greenhouse gas emissions from carbon stock change due to land-use change (measured as mass of CO</t>
        </r>
        <r>
          <rPr>
            <vertAlign val="subscript"/>
            <sz val="10"/>
            <rFont val="Arial"/>
            <family val="2"/>
          </rPr>
          <t>2</t>
        </r>
        <r>
          <rPr>
            <sz val="10"/>
            <rFont val="Arial"/>
            <family val="2"/>
          </rPr>
          <t>-equivalent per unit biofuel energy);
CS</t>
        </r>
        <r>
          <rPr>
            <vertAlign val="subscript"/>
            <sz val="10"/>
            <rFont val="Arial"/>
            <family val="2"/>
          </rPr>
          <t>R</t>
        </r>
        <r>
          <rPr>
            <sz val="10"/>
            <rFont val="Arial"/>
            <family val="2"/>
          </rPr>
          <t xml:space="preserve"> = the carbon stock per unit area associated with the reference land use (measured as mass of carbon per unit area, including both soil and vegetation). The reference land use shall be the land use in January 2008 or 20 years before the raw material was obtained, whichever was the later;
CS</t>
        </r>
        <r>
          <rPr>
            <vertAlign val="subscript"/>
            <sz val="10"/>
            <rFont val="Arial"/>
            <family val="2"/>
          </rPr>
          <t>A</t>
        </r>
        <r>
          <rPr>
            <sz val="10"/>
            <rFont val="Arial"/>
            <family val="2"/>
          </rPr>
          <t xml:space="preserve"> =the carbon stock per unit area associated with the actual land use (measured as mass of carbon per unit area, including both soil and vegetation). In cases where the carbon stock accumulates over more than one year, the value attributed to CS</t>
        </r>
        <r>
          <rPr>
            <vertAlign val="subscript"/>
            <sz val="10"/>
            <rFont val="Arial"/>
            <family val="2"/>
          </rPr>
          <t>A</t>
        </r>
        <r>
          <rPr>
            <sz val="10"/>
            <rFont val="Arial"/>
            <family val="2"/>
          </rPr>
          <t xml:space="preserve"> shall be the estimated stock per unit area after 20 years or when the crop reaches maturity, whichever the earlier;
P =the productivity of the crop (measured as biofuel or bioliquid energy per unit area per year); and
e</t>
        </r>
        <r>
          <rPr>
            <vertAlign val="subscript"/>
            <sz val="10"/>
            <rFont val="Arial"/>
            <family val="2"/>
          </rPr>
          <t>B</t>
        </r>
        <r>
          <rPr>
            <sz val="10"/>
            <rFont val="Arial"/>
            <family val="2"/>
          </rPr>
          <t xml:space="preserve"> =bonus of 29 gCO</t>
        </r>
        <r>
          <rPr>
            <vertAlign val="subscript"/>
            <sz val="10"/>
            <rFont val="Arial"/>
            <family val="2"/>
          </rPr>
          <t>2eq</t>
        </r>
        <r>
          <rPr>
            <sz val="10"/>
            <rFont val="Arial"/>
            <family val="2"/>
          </rPr>
          <t>/MJ biofuel or bioliquid if biomass is obtained from restored degraded land under the conditions provided for in point 8.
8.
The bonus of 29 gCO</t>
        </r>
        <r>
          <rPr>
            <vertAlign val="subscript"/>
            <sz val="10"/>
            <rFont val="Arial"/>
            <family val="2"/>
          </rPr>
          <t>2eq</t>
        </r>
        <r>
          <rPr>
            <sz val="10"/>
            <rFont val="Arial"/>
            <family val="2"/>
          </rPr>
          <t>/MJ shall be attributed if evidence is provided that the land:
(a) was not in use for agriculture or any other activity in January 2008; and
(b) falls into one of the following categories:
   (i) severely degraded land, including such land that was formerly in agricultural use;
   (ii) heavily contaminated land.
The bonus of 29 gCO</t>
        </r>
        <r>
          <rPr>
            <vertAlign val="subscript"/>
            <sz val="10"/>
            <rFont val="Arial"/>
            <family val="2"/>
          </rPr>
          <t>2eq</t>
        </r>
        <r>
          <rPr>
            <sz val="10"/>
            <rFont val="Arial"/>
            <family val="2"/>
          </rPr>
          <t>/MJ shall apply for a period of up to 10 years from the date of conversion of the land to agricultural use, provided that a steady increase in carbon stocks as well as a sizable reduction in erosion phenomena for land falling under (i) are ensured and that soil contamination for land falling under (ii) is reduced.
9.
The categories referred to in point 8(b) are defined as follows:
(a) ‘severely degraded land’ means land that, for a significant period of time, has either been significantly salinated or presented significantly low organic matter content and has been severely eroded;
(b) ‘heavily contaminated land’ means land that is unfit for the cultivation of food and feed due to soil contamination.
Such land shall include land that has been the subject of a Commission decision in accordance with the fourth subparagraph of Article 18(4).</t>
        </r>
        <r>
          <rPr>
            <sz val="8"/>
            <rFont val="Tahoma"/>
            <family val="0"/>
          </rPr>
          <t xml:space="preserve">
</t>
        </r>
        <r>
          <rPr>
            <sz val="10"/>
            <rFont val="Arial"/>
            <family val="2"/>
          </rPr>
          <t xml:space="preserve">
</t>
        </r>
        <r>
          <rPr>
            <vertAlign val="superscript"/>
            <sz val="10"/>
            <rFont val="Arial"/>
            <family val="2"/>
          </rPr>
          <t>(1)</t>
        </r>
        <r>
          <rPr>
            <vertAlign val="subscript"/>
            <sz val="10"/>
            <rFont val="Arial"/>
            <family val="2"/>
          </rPr>
          <t xml:space="preserve"> </t>
        </r>
        <r>
          <rPr>
            <sz val="10"/>
            <rFont val="Arial"/>
            <family val="2"/>
          </rPr>
          <t xml:space="preserve"> The quotient obtained by dividing the molecular weight of CO</t>
        </r>
        <r>
          <rPr>
            <vertAlign val="subscript"/>
            <sz val="10"/>
            <rFont val="Arial"/>
            <family val="2"/>
          </rPr>
          <t>2</t>
        </r>
        <r>
          <rPr>
            <sz val="10"/>
            <rFont val="Arial"/>
            <family val="2"/>
          </rPr>
          <t xml:space="preserve"> (44,010 g/mol) by the molecular weight of carbon (12,011 g/mol) is equal to 3,664.</t>
        </r>
      </text>
    </comment>
    <comment ref="C171" authorId="0">
      <text>
        <r>
          <rPr>
            <sz val="10"/>
            <rFont val="Arial"/>
            <family val="2"/>
          </rPr>
          <t>Emission saving from carbon capture and replacement, e</t>
        </r>
        <r>
          <rPr>
            <vertAlign val="subscript"/>
            <sz val="10"/>
            <rFont val="Arial"/>
            <family val="2"/>
          </rPr>
          <t>ccr</t>
        </r>
        <r>
          <rPr>
            <sz val="10"/>
            <rFont val="Arial"/>
            <family val="2"/>
          </rPr>
          <t>, shall be limited to emissions avoided through the capture of CO</t>
        </r>
        <r>
          <rPr>
            <vertAlign val="subscript"/>
            <sz val="10"/>
            <rFont val="Arial"/>
            <family val="2"/>
          </rPr>
          <t>2</t>
        </r>
        <r>
          <rPr>
            <sz val="10"/>
            <rFont val="Arial"/>
            <family val="2"/>
          </rPr>
          <t xml:space="preserve"> of which the carbon originates from biomass and which is used to replace fossil-derived CO</t>
        </r>
        <r>
          <rPr>
            <vertAlign val="subscript"/>
            <sz val="10"/>
            <rFont val="Arial"/>
            <family val="2"/>
          </rPr>
          <t>2</t>
        </r>
        <r>
          <rPr>
            <sz val="10"/>
            <rFont val="Arial"/>
            <family val="2"/>
          </rPr>
          <t xml:space="preserve"> used in commercial products and services.</t>
        </r>
      </text>
    </comment>
    <comment ref="C177" authorId="0">
      <text>
        <r>
          <rPr>
            <sz val="10"/>
            <rFont val="Arial"/>
            <family val="2"/>
          </rPr>
          <t>Emission saving from carbon capture and geological storage e</t>
        </r>
        <r>
          <rPr>
            <vertAlign val="subscript"/>
            <sz val="10"/>
            <rFont val="Arial"/>
            <family val="2"/>
          </rPr>
          <t>ccs</t>
        </r>
        <r>
          <rPr>
            <sz val="10"/>
            <rFont val="Arial"/>
            <family val="2"/>
          </rPr>
          <t>, that have not already been accounted for in e</t>
        </r>
        <r>
          <rPr>
            <vertAlign val="subscript"/>
            <sz val="10"/>
            <rFont val="Arial"/>
            <family val="2"/>
          </rPr>
          <t>p</t>
        </r>
        <r>
          <rPr>
            <sz val="10"/>
            <rFont val="Arial"/>
            <family val="2"/>
          </rPr>
          <t>, shall be limited to emissions avoided through the capture and sequestration of emitted CO</t>
        </r>
        <r>
          <rPr>
            <vertAlign val="subscript"/>
            <sz val="10"/>
            <rFont val="Arial"/>
            <family val="2"/>
          </rPr>
          <t>2</t>
        </r>
        <r>
          <rPr>
            <sz val="10"/>
            <rFont val="Arial"/>
            <family val="2"/>
          </rPr>
          <t xml:space="preserve"> directly related to the extraction, transport, processing and distribution of fuel.</t>
        </r>
      </text>
    </comment>
    <comment ref="G7" authorId="1">
      <text>
        <r>
          <rPr>
            <sz val="8"/>
            <rFont val="Tahoma"/>
            <family val="2"/>
          </rPr>
          <t>This value is not listed in the RED. 
It has been calculated on the basis of the JEC input, as is explained in "About"</t>
        </r>
      </text>
    </comment>
    <comment ref="G8" authorId="1">
      <text>
        <r>
          <rPr>
            <sz val="8"/>
            <rFont val="Tahoma"/>
            <family val="2"/>
          </rPr>
          <t>This value is not listed in the RED. 
It has been calculated on the basis of the JEC input, as is explained in "About"</t>
        </r>
      </text>
    </comment>
    <comment ref="G10" authorId="1">
      <text>
        <r>
          <rPr>
            <sz val="8"/>
            <rFont val="Tahoma"/>
            <family val="2"/>
          </rPr>
          <t>This value is not listed in the RED. 
It has been calculated on the basis of the JEC input, as is explained in "About"</t>
        </r>
      </text>
    </comment>
    <comment ref="G11" authorId="1">
      <text>
        <r>
          <rPr>
            <sz val="8"/>
            <rFont val="Tahoma"/>
            <family val="2"/>
          </rPr>
          <t>This value is not listed in the RED. 
It has been calculated on the basis of the JEC input, as is explained in "About"</t>
        </r>
      </text>
    </comment>
    <comment ref="G15" authorId="1">
      <text>
        <r>
          <rPr>
            <sz val="8"/>
            <rFont val="Tahoma"/>
            <family val="2"/>
          </rPr>
          <t>This value is not listed in the RED. 
It has been calculated on the basis of the JEC input, as is explained in "About"</t>
        </r>
      </text>
    </comment>
    <comment ref="G16" authorId="1">
      <text>
        <r>
          <rPr>
            <sz val="8"/>
            <rFont val="Tahoma"/>
            <family val="2"/>
          </rPr>
          <t>This value is not listed in the RED. 
It has been calculated on the basis of the JEC input, as is explained in "About"</t>
        </r>
      </text>
    </comment>
    <comment ref="G14" authorId="1">
      <text>
        <r>
          <rPr>
            <sz val="8"/>
            <rFont val="Tahoma"/>
            <family val="2"/>
          </rPr>
          <t>This value is not listed in the RED. 
It has been calculated on the basis of the JEC input, as is explained in "About"</t>
        </r>
      </text>
    </comment>
    <comment ref="C74" authorId="1">
      <text>
        <r>
          <rPr>
            <sz val="8"/>
            <rFont val="Tahoma"/>
            <family val="2"/>
          </rPr>
          <t>Factor 1,4 is to convert "typical value" into "default value</t>
        </r>
      </text>
    </comment>
    <comment ref="C75" authorId="1">
      <text>
        <r>
          <rPr>
            <sz val="8"/>
            <rFont val="Tahoma"/>
            <family val="2"/>
          </rPr>
          <t>Factor 1,4 is to convert "typical value" into "default value</t>
        </r>
      </text>
    </comment>
    <comment ref="C78" authorId="1">
      <text>
        <r>
          <rPr>
            <sz val="8"/>
            <rFont val="Tahoma"/>
            <family val="2"/>
          </rPr>
          <t>Factor 1,4 is to convert "typical value" into "default value</t>
        </r>
      </text>
    </comment>
    <comment ref="C98" authorId="1">
      <text>
        <r>
          <rPr>
            <sz val="8"/>
            <rFont val="Tahoma"/>
            <family val="2"/>
          </rPr>
          <t>Factor 1,4 is to convert "typical value" into "default value</t>
        </r>
      </text>
    </comment>
    <comment ref="C99" authorId="1">
      <text>
        <r>
          <rPr>
            <sz val="8"/>
            <rFont val="Tahoma"/>
            <family val="2"/>
          </rPr>
          <t>Factor 1,4 is to convert "typical value" into "default value</t>
        </r>
      </text>
    </comment>
    <comment ref="C102" authorId="1">
      <text>
        <r>
          <rPr>
            <sz val="8"/>
            <rFont val="Tahoma"/>
            <family val="2"/>
          </rPr>
          <t>Factor 1,4 is to convert "typical value" into "default value</t>
        </r>
      </text>
    </comment>
    <comment ref="C114" authorId="1">
      <text>
        <r>
          <rPr>
            <sz val="8"/>
            <rFont val="Tahoma"/>
            <family val="2"/>
          </rPr>
          <t>Factor 1,4 is to convert "typical value" into "default value</t>
        </r>
      </text>
    </comment>
    <comment ref="C115" authorId="1">
      <text>
        <r>
          <rPr>
            <sz val="8"/>
            <rFont val="Tahoma"/>
            <family val="2"/>
          </rPr>
          <t>Factor 1,4 is to convert "typical value" into "default value</t>
        </r>
      </text>
    </comment>
    <comment ref="C118" authorId="1">
      <text>
        <r>
          <rPr>
            <sz val="8"/>
            <rFont val="Tahoma"/>
            <family val="2"/>
          </rPr>
          <t>Factor 1,4 is to convert "typical value" into "default value</t>
        </r>
      </text>
    </comment>
    <comment ref="C119" authorId="1">
      <text>
        <r>
          <rPr>
            <sz val="8"/>
            <rFont val="Tahoma"/>
            <family val="2"/>
          </rPr>
          <t>Factor 1,4 is to convert "typical value" into "default value</t>
        </r>
      </text>
    </comment>
    <comment ref="C120" authorId="1">
      <text>
        <r>
          <rPr>
            <sz val="8"/>
            <rFont val="Tahoma"/>
            <family val="2"/>
          </rPr>
          <t>Factor 1,4 is to convert "typical value" into "default value</t>
        </r>
      </text>
    </comment>
    <comment ref="C121" authorId="1">
      <text>
        <r>
          <rPr>
            <sz val="8"/>
            <rFont val="Tahoma"/>
            <family val="2"/>
          </rPr>
          <t>Factor 1,4 is to convert "typical value" into "default value</t>
        </r>
      </text>
    </comment>
    <comment ref="C122" authorId="1">
      <text>
        <r>
          <rPr>
            <sz val="8"/>
            <rFont val="Tahoma"/>
            <family val="2"/>
          </rPr>
          <t>Factor 1,4 is to convert "typical value" into "default value</t>
        </r>
      </text>
    </comment>
    <comment ref="C165" authorId="0">
      <text>
        <r>
          <rPr>
            <sz val="10"/>
            <rFont val="Arial"/>
            <family val="2"/>
          </rPr>
          <t>Emission saving from improved agricultural management, esca, should only be calculated if no land use change have taken place (so when e</t>
        </r>
        <r>
          <rPr>
            <vertAlign val="subscript"/>
            <sz val="10"/>
            <rFont val="Arial"/>
            <family val="2"/>
          </rPr>
          <t>l</t>
        </r>
        <r>
          <rPr>
            <sz val="10"/>
            <rFont val="Arial"/>
            <family val="2"/>
          </rPr>
          <t xml:space="preserve"> = 0) and can be calculated following the calculation for land use change, but excluding vegetation (so for soil organic carbon only).</t>
        </r>
      </text>
    </comment>
  </commentList>
</comments>
</file>

<file path=xl/comments6.xml><?xml version="1.0" encoding="utf-8"?>
<comments xmlns="http://schemas.openxmlformats.org/spreadsheetml/2006/main">
  <authors>
    <author>sbu</author>
    <author>neeft</author>
  </authors>
  <commentList>
    <comment ref="C129" authorId="0">
      <text>
        <r>
          <rPr>
            <sz val="10"/>
            <rFont val="Arial"/>
            <family val="2"/>
          </rPr>
          <t>Annualised emissions from carbon stock changes caused by land-use change, e</t>
        </r>
        <r>
          <rPr>
            <vertAlign val="subscript"/>
            <sz val="10"/>
            <rFont val="Arial"/>
            <family val="2"/>
          </rPr>
          <t>l</t>
        </r>
        <r>
          <rPr>
            <sz val="10"/>
            <rFont val="Arial"/>
            <family val="2"/>
          </rPr>
          <t>, shall be calculated by dividing total emissions equally over 20 years. For the calculation of those emissions the following rule shall be applied:
e</t>
        </r>
        <r>
          <rPr>
            <vertAlign val="subscript"/>
            <sz val="10"/>
            <rFont val="Arial"/>
            <family val="2"/>
          </rPr>
          <t>l</t>
        </r>
        <r>
          <rPr>
            <sz val="10"/>
            <rFont val="Arial"/>
            <family val="2"/>
          </rPr>
          <t xml:space="preserve"> = (CS</t>
        </r>
        <r>
          <rPr>
            <vertAlign val="subscript"/>
            <sz val="10"/>
            <rFont val="Arial"/>
            <family val="2"/>
          </rPr>
          <t>R</t>
        </r>
        <r>
          <rPr>
            <sz val="10"/>
            <rFont val="Arial"/>
            <family val="2"/>
          </rPr>
          <t xml:space="preserve"> – CS</t>
        </r>
        <r>
          <rPr>
            <vertAlign val="subscript"/>
            <sz val="10"/>
            <rFont val="Arial"/>
            <family val="2"/>
          </rPr>
          <t>A</t>
        </r>
        <r>
          <rPr>
            <sz val="10"/>
            <rFont val="Arial"/>
            <family val="2"/>
          </rPr>
          <t>) × 3,664 × 1/20 × 1/P – e</t>
        </r>
        <r>
          <rPr>
            <vertAlign val="subscript"/>
            <sz val="10"/>
            <rFont val="Arial"/>
            <family val="2"/>
          </rPr>
          <t>B</t>
        </r>
        <r>
          <rPr>
            <vertAlign val="superscript"/>
            <sz val="10"/>
            <rFont val="Arial"/>
            <family val="2"/>
          </rPr>
          <t>(1)</t>
        </r>
        <r>
          <rPr>
            <sz val="10"/>
            <rFont val="Arial"/>
            <family val="2"/>
          </rPr>
          <t xml:space="preserve">
where
e</t>
        </r>
        <r>
          <rPr>
            <vertAlign val="subscript"/>
            <sz val="10"/>
            <rFont val="Arial"/>
            <family val="2"/>
          </rPr>
          <t>l</t>
        </r>
        <r>
          <rPr>
            <sz val="10"/>
            <rFont val="Arial"/>
            <family val="2"/>
          </rPr>
          <t xml:space="preserve"> = annualised greenhouse gas emissions from carbon stock change due to land-use change (measured as mass of CO</t>
        </r>
        <r>
          <rPr>
            <vertAlign val="subscript"/>
            <sz val="10"/>
            <rFont val="Arial"/>
            <family val="2"/>
          </rPr>
          <t>2</t>
        </r>
        <r>
          <rPr>
            <sz val="10"/>
            <rFont val="Arial"/>
            <family val="2"/>
          </rPr>
          <t>-equivalent per unit biofuel energy);
CS</t>
        </r>
        <r>
          <rPr>
            <vertAlign val="subscript"/>
            <sz val="10"/>
            <rFont val="Arial"/>
            <family val="2"/>
          </rPr>
          <t>R</t>
        </r>
        <r>
          <rPr>
            <sz val="10"/>
            <rFont val="Arial"/>
            <family val="2"/>
          </rPr>
          <t xml:space="preserve"> = the carbon stock per unit area associated with the reference land use (measured as mass of carbon per unit area, including both soil and vegetation). The reference land use shall be the land use in January 2008 or 20 years before the raw material was obtained, whichever was the later;
CS</t>
        </r>
        <r>
          <rPr>
            <vertAlign val="subscript"/>
            <sz val="10"/>
            <rFont val="Arial"/>
            <family val="2"/>
          </rPr>
          <t>A</t>
        </r>
        <r>
          <rPr>
            <sz val="10"/>
            <rFont val="Arial"/>
            <family val="2"/>
          </rPr>
          <t xml:space="preserve"> =the carbon stock per unit area associated with the actual land use (measured as mass of carbon per unit area, including both soil and vegetation). In cases where the carbon stock accumulates over more than one year, the value attributed to CS</t>
        </r>
        <r>
          <rPr>
            <vertAlign val="subscript"/>
            <sz val="10"/>
            <rFont val="Arial"/>
            <family val="2"/>
          </rPr>
          <t>A</t>
        </r>
        <r>
          <rPr>
            <sz val="10"/>
            <rFont val="Arial"/>
            <family val="2"/>
          </rPr>
          <t xml:space="preserve"> shall be the estimated stock per unit area after 20 years or when the crop reaches maturity, whichever the earlier;
P =the productivity of the crop (measured as biofuel or bioliquid energy per unit area per year); and
e</t>
        </r>
        <r>
          <rPr>
            <vertAlign val="subscript"/>
            <sz val="10"/>
            <rFont val="Arial"/>
            <family val="2"/>
          </rPr>
          <t>B</t>
        </r>
        <r>
          <rPr>
            <sz val="10"/>
            <rFont val="Arial"/>
            <family val="2"/>
          </rPr>
          <t xml:space="preserve"> =bonus of 29 gCO</t>
        </r>
        <r>
          <rPr>
            <vertAlign val="subscript"/>
            <sz val="10"/>
            <rFont val="Arial"/>
            <family val="2"/>
          </rPr>
          <t>2eq</t>
        </r>
        <r>
          <rPr>
            <sz val="10"/>
            <rFont val="Arial"/>
            <family val="2"/>
          </rPr>
          <t>/MJ biofuel or bioliquid if biomass is obtained from restored degraded land under the conditions provided for in point 8.
8.
The bonus of 29 gCO</t>
        </r>
        <r>
          <rPr>
            <vertAlign val="subscript"/>
            <sz val="10"/>
            <rFont val="Arial"/>
            <family val="2"/>
          </rPr>
          <t>2eq</t>
        </r>
        <r>
          <rPr>
            <sz val="10"/>
            <rFont val="Arial"/>
            <family val="2"/>
          </rPr>
          <t>/MJ shall be attributed if evidence is provided that the land:
(a) was not in use for agriculture or any other activity in January 2008; and
(b) falls into one of the following categories:
   (i) severely degraded land, including such land that was formerly in agricultural use;
   (ii) heavily contaminated land.
The bonus of 29 gCO</t>
        </r>
        <r>
          <rPr>
            <vertAlign val="subscript"/>
            <sz val="10"/>
            <rFont val="Arial"/>
            <family val="2"/>
          </rPr>
          <t>2eq</t>
        </r>
        <r>
          <rPr>
            <sz val="10"/>
            <rFont val="Arial"/>
            <family val="2"/>
          </rPr>
          <t>/MJ shall apply for a period of up to 10 years from the date of conversion of the land to agricultural use, provided that a steady increase in carbon stocks as well as a sizable reduction in erosion phenomena for land falling under (i) are ensured and that soil contamination for land falling under (ii) is reduced.
9.
The categories referred to in point 8(b) are defined as follows:
(a) ‘severely degraded land’ means land that, for a significant period of time, has either been significantly salinated or presented significantly low organic matter content and has been severely eroded;
(b) ‘heavily contaminated land’ means land that is unfit for the cultivation of food and feed due to soil contamination.
Such land shall include land that has been the subject of a Commission decision in accordance with the fourth subparagraph of Article 18(4).</t>
        </r>
        <r>
          <rPr>
            <sz val="8"/>
            <rFont val="Tahoma"/>
            <family val="0"/>
          </rPr>
          <t xml:space="preserve">
</t>
        </r>
        <r>
          <rPr>
            <sz val="10"/>
            <rFont val="Arial"/>
            <family val="2"/>
          </rPr>
          <t xml:space="preserve">
</t>
        </r>
        <r>
          <rPr>
            <vertAlign val="superscript"/>
            <sz val="10"/>
            <rFont val="Arial"/>
            <family val="2"/>
          </rPr>
          <t>(1)</t>
        </r>
        <r>
          <rPr>
            <vertAlign val="subscript"/>
            <sz val="10"/>
            <rFont val="Arial"/>
            <family val="2"/>
          </rPr>
          <t xml:space="preserve"> </t>
        </r>
        <r>
          <rPr>
            <sz val="10"/>
            <rFont val="Arial"/>
            <family val="2"/>
          </rPr>
          <t xml:space="preserve"> The quotient obtained by dividing the molecular weight of CO</t>
        </r>
        <r>
          <rPr>
            <vertAlign val="subscript"/>
            <sz val="10"/>
            <rFont val="Arial"/>
            <family val="2"/>
          </rPr>
          <t>2</t>
        </r>
        <r>
          <rPr>
            <sz val="10"/>
            <rFont val="Arial"/>
            <family val="2"/>
          </rPr>
          <t xml:space="preserve"> (44,010 g/mol) by the molecular weight of carbon (12,011 g/mol) is equal to 3,664.</t>
        </r>
      </text>
    </comment>
    <comment ref="C141" authorId="0">
      <text>
        <r>
          <rPr>
            <sz val="10"/>
            <rFont val="Arial"/>
            <family val="2"/>
          </rPr>
          <t>Emission saving from carbon capture and replacement, e</t>
        </r>
        <r>
          <rPr>
            <vertAlign val="subscript"/>
            <sz val="10"/>
            <rFont val="Arial"/>
            <family val="2"/>
          </rPr>
          <t>ccr</t>
        </r>
        <r>
          <rPr>
            <sz val="10"/>
            <rFont val="Arial"/>
            <family val="2"/>
          </rPr>
          <t>, shall be limited to emissions avoided through the capture of CO</t>
        </r>
        <r>
          <rPr>
            <vertAlign val="subscript"/>
            <sz val="10"/>
            <rFont val="Arial"/>
            <family val="2"/>
          </rPr>
          <t>2</t>
        </r>
        <r>
          <rPr>
            <sz val="10"/>
            <rFont val="Arial"/>
            <family val="2"/>
          </rPr>
          <t xml:space="preserve"> of which the carbon originates from biomass and which is used to replace fossil-derived CO</t>
        </r>
        <r>
          <rPr>
            <vertAlign val="subscript"/>
            <sz val="10"/>
            <rFont val="Arial"/>
            <family val="2"/>
          </rPr>
          <t>2</t>
        </r>
        <r>
          <rPr>
            <sz val="10"/>
            <rFont val="Arial"/>
            <family val="2"/>
          </rPr>
          <t xml:space="preserve"> used in commercial products and services.</t>
        </r>
      </text>
    </comment>
    <comment ref="C147" authorId="0">
      <text>
        <r>
          <rPr>
            <sz val="10"/>
            <rFont val="Arial"/>
            <family val="2"/>
          </rPr>
          <t>Emission saving from carbon capture and geological storage e</t>
        </r>
        <r>
          <rPr>
            <vertAlign val="subscript"/>
            <sz val="10"/>
            <rFont val="Arial"/>
            <family val="2"/>
          </rPr>
          <t>ccs</t>
        </r>
        <r>
          <rPr>
            <sz val="10"/>
            <rFont val="Arial"/>
            <family val="2"/>
          </rPr>
          <t>, that have not already been accounted for in e</t>
        </r>
        <r>
          <rPr>
            <vertAlign val="subscript"/>
            <sz val="10"/>
            <rFont val="Arial"/>
            <family val="2"/>
          </rPr>
          <t>p</t>
        </r>
        <r>
          <rPr>
            <sz val="10"/>
            <rFont val="Arial"/>
            <family val="2"/>
          </rPr>
          <t>, shall be limited to emissions avoided through the capture and sequestration of emitted CO</t>
        </r>
        <r>
          <rPr>
            <vertAlign val="subscript"/>
            <sz val="10"/>
            <rFont val="Arial"/>
            <family val="2"/>
          </rPr>
          <t>2</t>
        </r>
        <r>
          <rPr>
            <sz val="10"/>
            <rFont val="Arial"/>
            <family val="2"/>
          </rPr>
          <t xml:space="preserve"> directly related to the extraction, transport, processing and distribution of fuel.</t>
        </r>
      </text>
    </comment>
    <comment ref="G7" authorId="1">
      <text>
        <r>
          <rPr>
            <sz val="8"/>
            <rFont val="Tahoma"/>
            <family val="2"/>
          </rPr>
          <t>This value is not listed in the RED. 
It has been calculated on the basis of the JEC input, as is explained in "About"</t>
        </r>
      </text>
    </comment>
    <comment ref="G8" authorId="1">
      <text>
        <r>
          <rPr>
            <sz val="8"/>
            <rFont val="Tahoma"/>
            <family val="2"/>
          </rPr>
          <t>This value is not listed in the RED. 
It has been calculated on the basis of the JEC input, as is explained in "About"</t>
        </r>
      </text>
    </comment>
    <comment ref="G10" authorId="1">
      <text>
        <r>
          <rPr>
            <sz val="8"/>
            <rFont val="Tahoma"/>
            <family val="2"/>
          </rPr>
          <t>This value is not listed in the RED. 
It has been calculated on the basis of the JEC input, as is explained in "About"</t>
        </r>
      </text>
    </comment>
    <comment ref="G11" authorId="1">
      <text>
        <r>
          <rPr>
            <sz val="8"/>
            <rFont val="Tahoma"/>
            <family val="2"/>
          </rPr>
          <t>This value is not listed in the RED. 
It has been calculated on the basis of the JEC input, as is explained in "About"</t>
        </r>
      </text>
    </comment>
    <comment ref="G13" authorId="1">
      <text>
        <r>
          <rPr>
            <sz val="8"/>
            <rFont val="Tahoma"/>
            <family val="2"/>
          </rPr>
          <t>This value is not listed in the RED. 
It has been calculated on the basis of the JEC input, as is explained in "About"</t>
        </r>
      </text>
    </comment>
    <comment ref="G14" authorId="1">
      <text>
        <r>
          <rPr>
            <sz val="8"/>
            <rFont val="Tahoma"/>
            <family val="2"/>
          </rPr>
          <t>This value is not listed in the RED. 
It has been calculated on the basis of the JEC input, as is explained in "About"</t>
        </r>
      </text>
    </comment>
    <comment ref="G15" authorId="1">
      <text>
        <r>
          <rPr>
            <sz val="8"/>
            <rFont val="Tahoma"/>
            <family val="2"/>
          </rPr>
          <t>This value is not listed in the RED. 
It has been calculated on the basis of the JEC input, as is explained in "About"</t>
        </r>
      </text>
    </comment>
    <comment ref="C73" authorId="1">
      <text>
        <r>
          <rPr>
            <sz val="8"/>
            <rFont val="Tahoma"/>
            <family val="2"/>
          </rPr>
          <t>Factor 1,4 is to convert "typical value" into "default value</t>
        </r>
      </text>
    </comment>
    <comment ref="C74" authorId="1">
      <text>
        <r>
          <rPr>
            <sz val="8"/>
            <rFont val="Tahoma"/>
            <family val="2"/>
          </rPr>
          <t>Factor 1,4 is to convert "typical value" into "default value</t>
        </r>
      </text>
    </comment>
    <comment ref="C77" authorId="1">
      <text>
        <r>
          <rPr>
            <sz val="8"/>
            <rFont val="Tahoma"/>
            <family val="2"/>
          </rPr>
          <t>Factor 1,4 is to convert "typical value" into "default value</t>
        </r>
      </text>
    </comment>
    <comment ref="C97" authorId="1">
      <text>
        <r>
          <rPr>
            <sz val="8"/>
            <rFont val="Tahoma"/>
            <family val="2"/>
          </rPr>
          <t>Factor 1,4 is to convert "typical value" into "default value</t>
        </r>
      </text>
    </comment>
    <comment ref="C98" authorId="1">
      <text>
        <r>
          <rPr>
            <sz val="8"/>
            <rFont val="Tahoma"/>
            <family val="2"/>
          </rPr>
          <t>Factor 1,4 is to convert "typical value" into "default value</t>
        </r>
      </text>
    </comment>
    <comment ref="C101" authorId="1">
      <text>
        <r>
          <rPr>
            <sz val="8"/>
            <rFont val="Tahoma"/>
            <family val="2"/>
          </rPr>
          <t>Factor 1,4 is to convert "typical value" into "default value</t>
        </r>
      </text>
    </comment>
    <comment ref="C135" authorId="0">
      <text>
        <r>
          <rPr>
            <sz val="10"/>
            <rFont val="Arial"/>
            <family val="2"/>
          </rPr>
          <t>Emission saving from improved agricultural management, esca, should only be calculated if no land use change have taken place (so when e</t>
        </r>
        <r>
          <rPr>
            <vertAlign val="subscript"/>
            <sz val="10"/>
            <rFont val="Arial"/>
            <family val="2"/>
          </rPr>
          <t>l</t>
        </r>
        <r>
          <rPr>
            <sz val="10"/>
            <rFont val="Arial"/>
            <family val="2"/>
          </rPr>
          <t xml:space="preserve"> = 0) and can be calculated following the calculation for land use change, but excluding vegetation (so for soil organic carbon only).</t>
        </r>
      </text>
    </comment>
  </commentList>
</comments>
</file>

<file path=xl/comments7.xml><?xml version="1.0" encoding="utf-8"?>
<comments xmlns="http://schemas.openxmlformats.org/spreadsheetml/2006/main">
  <authors>
    <author>weindorf</author>
  </authors>
  <commentList>
    <comment ref="L3" authorId="0">
      <text>
        <r>
          <rPr>
            <b/>
            <sz val="8"/>
            <rFont val="Tahoma"/>
            <family val="0"/>
          </rPr>
          <t>weindorf:</t>
        </r>
        <r>
          <rPr>
            <sz val="8"/>
            <rFont val="Tahoma"/>
            <family val="0"/>
          </rPr>
          <t xml:space="preserve">
fossil plus nuclear (= non-renewable energy)
In the CONCAWE/EUCAR/JRC study the use of non-renewable energy is meant with "fossel energy" 
Supply and use</t>
        </r>
      </text>
    </comment>
    <comment ref="K4" authorId="0">
      <text>
        <r>
          <rPr>
            <b/>
            <sz val="8"/>
            <rFont val="Tahoma"/>
            <family val="0"/>
          </rPr>
          <t>weindorf:</t>
        </r>
        <r>
          <rPr>
            <sz val="8"/>
            <rFont val="Tahoma"/>
            <family val="0"/>
          </rPr>
          <t xml:space="preserve">
supply and use (combustion)</t>
        </r>
      </text>
    </comment>
    <comment ref="H4" authorId="0">
      <text>
        <r>
          <rPr>
            <b/>
            <sz val="8"/>
            <rFont val="Tahoma"/>
            <family val="0"/>
          </rPr>
          <t>weindorf:</t>
        </r>
        <r>
          <rPr>
            <sz val="8"/>
            <rFont val="Tahoma"/>
            <family val="0"/>
          </rPr>
          <t xml:space="preserve">
supply and use (combustion)</t>
        </r>
      </text>
    </comment>
  </commentList>
</comments>
</file>

<file path=xl/comments8.xml><?xml version="1.0" encoding="utf-8"?>
<comments xmlns="http://schemas.openxmlformats.org/spreadsheetml/2006/main">
  <authors>
    <author>weindorf</author>
  </authors>
  <commentList>
    <comment ref="H6" authorId="0">
      <text>
        <r>
          <rPr>
            <b/>
            <sz val="8"/>
            <rFont val="Tahoma"/>
            <family val="0"/>
          </rPr>
          <t>weindorf:</t>
        </r>
        <r>
          <rPr>
            <sz val="8"/>
            <rFont val="Tahoma"/>
            <family val="0"/>
          </rPr>
          <t xml:space="preserve">
supply and use (combustion)</t>
        </r>
      </text>
    </comment>
    <comment ref="K6" authorId="0">
      <text>
        <r>
          <rPr>
            <b/>
            <sz val="8"/>
            <rFont val="Tahoma"/>
            <family val="0"/>
          </rPr>
          <t>weindorf:</t>
        </r>
        <r>
          <rPr>
            <sz val="8"/>
            <rFont val="Tahoma"/>
            <family val="0"/>
          </rPr>
          <t xml:space="preserve">
supply and use (combustion)</t>
        </r>
      </text>
    </comment>
    <comment ref="H105" authorId="0">
      <text>
        <r>
          <rPr>
            <sz val="8"/>
            <rFont val="Tahoma"/>
            <family val="0"/>
          </rPr>
          <t>Net emissions (credit for the by-product electricity taken into account)</t>
        </r>
      </text>
    </comment>
    <comment ref="I105" authorId="0">
      <text>
        <r>
          <rPr>
            <sz val="8"/>
            <rFont val="Tahoma"/>
            <family val="0"/>
          </rPr>
          <t>Net emissions (credit for the by-product electricity taken into account)</t>
        </r>
      </text>
    </comment>
    <comment ref="J105" authorId="0">
      <text>
        <r>
          <rPr>
            <sz val="8"/>
            <rFont val="Tahoma"/>
            <family val="0"/>
          </rPr>
          <t>Net emissions (credit for the by-product electricity taken into account)</t>
        </r>
      </text>
    </comment>
    <comment ref="H106" authorId="0">
      <text>
        <r>
          <rPr>
            <sz val="8"/>
            <rFont val="Tahoma"/>
            <family val="0"/>
          </rPr>
          <t>Net emissions (credit for the by-product electricity taken into account)</t>
        </r>
      </text>
    </comment>
    <comment ref="I106" authorId="0">
      <text>
        <r>
          <rPr>
            <sz val="8"/>
            <rFont val="Tahoma"/>
            <family val="0"/>
          </rPr>
          <t>Net emissions (credit for the by-product electricity taken into account)</t>
        </r>
      </text>
    </comment>
    <comment ref="J106" authorId="0">
      <text>
        <r>
          <rPr>
            <sz val="8"/>
            <rFont val="Tahoma"/>
            <family val="0"/>
          </rPr>
          <t>Net emissions (credit for the by-product electricity taken into account)</t>
        </r>
      </text>
    </comment>
    <comment ref="H107" authorId="0">
      <text>
        <r>
          <rPr>
            <sz val="8"/>
            <rFont val="Tahoma"/>
            <family val="0"/>
          </rPr>
          <t>Net emissions (credit for the by-product electricity taken into account)</t>
        </r>
      </text>
    </comment>
    <comment ref="I107" authorId="0">
      <text>
        <r>
          <rPr>
            <sz val="8"/>
            <rFont val="Tahoma"/>
            <family val="0"/>
          </rPr>
          <t>Net emissions (credit for the by-product electricity taken into account)</t>
        </r>
      </text>
    </comment>
    <comment ref="J107" authorId="0">
      <text>
        <r>
          <rPr>
            <sz val="8"/>
            <rFont val="Tahoma"/>
            <family val="0"/>
          </rPr>
          <t>Net emissions (credit for the by-product electricity taken into account)</t>
        </r>
      </text>
    </comment>
    <comment ref="L5" authorId="0">
      <text>
        <r>
          <rPr>
            <sz val="8"/>
            <rFont val="Tahoma"/>
            <family val="0"/>
          </rPr>
          <t>Fossil plus nuclear (= non-renewable energy)
In the CONCAWE/EUCAR/JRC study the use of non-renewable energy is meant with "fossel energy" 
Supply and use</t>
        </r>
      </text>
    </comment>
    <comment ref="C19" authorId="0">
      <text>
        <r>
          <rPr>
            <sz val="8"/>
            <rFont val="Tahoma"/>
            <family val="0"/>
          </rPr>
          <t>No seeding material taken into account for corn in the JEC calculations from 31 July 2008 which have been used for the RED</t>
        </r>
      </text>
    </comment>
    <comment ref="C21" authorId="0">
      <text>
        <r>
          <rPr>
            <sz val="8"/>
            <rFont val="Tahoma"/>
            <family val="2"/>
          </rPr>
          <t>No seeding material taken into account for soy in the JEC calculations from 31 July 2008 which have been used for the RED</t>
        </r>
      </text>
    </comment>
    <comment ref="C23" authorId="0">
      <text>
        <r>
          <rPr>
            <sz val="8"/>
            <rFont val="Tahoma"/>
            <family val="2"/>
          </rPr>
          <t>No seeding material taken into account for sugarcane in the JEC calculations from 31 July 2008 which have been used for the RED</t>
        </r>
      </text>
    </comment>
    <comment ref="C26" authorId="0">
      <text>
        <r>
          <rPr>
            <sz val="8"/>
            <rFont val="Tahoma"/>
            <family val="0"/>
          </rPr>
          <t>No GHG emissions from EFB supply because it is a residue</t>
        </r>
      </text>
    </comment>
    <comment ref="H33" authorId="0">
      <text>
        <r>
          <rPr>
            <sz val="8"/>
            <rFont val="Tahoma"/>
            <family val="0"/>
          </rPr>
          <t>For the supply of diesel a summarized rounded value has been used in the JEC calculations from 31 July 2008 which have been used for the RED. The CO2 emissions includes also non-CO2 GHG</t>
        </r>
      </text>
    </comment>
    <comment ref="M33" authorId="0">
      <text>
        <r>
          <rPr>
            <sz val="8"/>
            <rFont val="Tahoma"/>
            <family val="0"/>
          </rPr>
          <t xml:space="preserve">For the supply of diesel a summarized rounded value has been used. </t>
        </r>
      </text>
    </comment>
    <comment ref="H65" authorId="0">
      <text>
        <r>
          <rPr>
            <b/>
            <sz val="8"/>
            <rFont val="Tahoma"/>
            <family val="0"/>
          </rPr>
          <t>weindorf:</t>
        </r>
        <r>
          <rPr>
            <sz val="8"/>
            <rFont val="Tahoma"/>
            <family val="0"/>
          </rPr>
          <t xml:space="preserve">
Transport of straw plus fertilizer debit: more fertilizer is required if the straw is removed</t>
        </r>
      </text>
    </comment>
    <comment ref="D83" authorId="0">
      <text>
        <r>
          <rPr>
            <sz val="8"/>
            <rFont val="Tahoma"/>
            <family val="0"/>
          </rPr>
          <t>Formation of CO2 from combustion or decomposition not taken into account until now in the EU RED</t>
        </r>
      </text>
    </comment>
    <comment ref="D84" authorId="0">
      <text>
        <r>
          <rPr>
            <sz val="8"/>
            <rFont val="Tahoma"/>
            <family val="0"/>
          </rPr>
          <t>Formation of CO2 from combustion or decomposition not taken into account until now in the EU RED</t>
        </r>
      </text>
    </comment>
    <comment ref="P89" authorId="0">
      <text>
        <r>
          <rPr>
            <b/>
            <sz val="8"/>
            <rFont val="Tahoma"/>
            <family val="0"/>
          </rPr>
          <t>weindorf:</t>
        </r>
        <r>
          <rPr>
            <sz val="8"/>
            <rFont val="Tahoma"/>
            <family val="0"/>
          </rPr>
          <t xml:space="preserve">
this number is used for  FFB tranport in the later versions </t>
        </r>
      </text>
    </comment>
  </commentList>
</comments>
</file>

<file path=xl/sharedStrings.xml><?xml version="1.0" encoding="utf-8"?>
<sst xmlns="http://schemas.openxmlformats.org/spreadsheetml/2006/main" count="1612" uniqueCount="510">
  <si>
    <t>www.biograce.net.</t>
  </si>
  <si>
    <t>The sole responsibility for the content of this Excel file lies with the authors. It does not necessarily reflect the opinion of the European Union. The European Commission is not responsible for any use that may be made of the information contained therein.</t>
  </si>
  <si>
    <r>
      <t>Standard values</t>
    </r>
    <r>
      <rPr>
        <sz val="10"/>
        <rFont val="Arial"/>
        <family val="0"/>
      </rPr>
      <t xml:space="preserve"> used are listed in the sheet "Standard values" in this Excel file. This sheet is protected.</t>
    </r>
  </si>
  <si>
    <t>As explained in "About" under "Inconsistent use of GWP's"</t>
  </si>
  <si>
    <t>Modified or new biofuel production chains</t>
  </si>
  <si>
    <t xml:space="preserve">The Excel sheets can also be used to set up a new calculation of a modified or even new biofuel production chain. This requires some knowledge of Excel and a detailed studying of how calculations are made. </t>
  </si>
  <si>
    <t>Results are expressed as "Default values"</t>
  </si>
  <si>
    <t xml:space="preserve">In the top part of the calculation sheets, the results are compared with the default values as listed in the RED. Two kind of figures are given for comparison: </t>
  </si>
  <si>
    <t>BioGrace project that delivered this Excel sheet</t>
  </si>
  <si>
    <t>Intelligent Energy for Europe</t>
  </si>
  <si>
    <t xml:space="preserve">The BioGrace project receives financial support from the IEE programme which is gratefully acknowledged. Information on IEE can be found at </t>
  </si>
  <si>
    <t>http://ec.europa.eu/energy/intelligent/</t>
  </si>
  <si>
    <t>CH4 and N2O emissions of steam production</t>
  </si>
  <si>
    <t>NG CCGT</t>
  </si>
  <si>
    <t>Lignite ST</t>
  </si>
  <si>
    <t>JEC E3-database (version 31-7-2008)</t>
  </si>
  <si>
    <t>Transport plus fertiliser debit because more fertiliser is required at the cultivation stage if the straw is removed</t>
  </si>
  <si>
    <r>
      <t>ton</t>
    </r>
    <r>
      <rPr>
        <vertAlign val="subscript"/>
        <sz val="10"/>
        <rFont val="Arial"/>
        <family val="2"/>
      </rPr>
      <t>DDGS</t>
    </r>
    <r>
      <rPr>
        <sz val="10"/>
        <rFont val="Arial"/>
        <family val="0"/>
      </rPr>
      <t xml:space="preserve"> / ton</t>
    </r>
    <r>
      <rPr>
        <vertAlign val="subscript"/>
        <sz val="10"/>
        <rFont val="Arial"/>
        <family val="2"/>
      </rPr>
      <t>Ethanol</t>
    </r>
  </si>
  <si>
    <t>Cultivation of wheat</t>
  </si>
  <si>
    <t>Transport of wheat</t>
  </si>
  <si>
    <t>Handling &amp; storage of wheat</t>
  </si>
  <si>
    <r>
      <t>MJ</t>
    </r>
    <r>
      <rPr>
        <vertAlign val="subscript"/>
        <sz val="10"/>
        <rFont val="Arial"/>
        <family val="2"/>
      </rPr>
      <t>Wheat</t>
    </r>
    <r>
      <rPr>
        <sz val="10"/>
        <rFont val="Arial"/>
        <family val="0"/>
      </rPr>
      <t xml:space="preserve"> / MJ</t>
    </r>
    <r>
      <rPr>
        <vertAlign val="subscript"/>
        <sz val="10"/>
        <rFont val="Arial"/>
        <family val="2"/>
      </rPr>
      <t>Wheat</t>
    </r>
  </si>
  <si>
    <r>
      <t>MJ</t>
    </r>
    <r>
      <rPr>
        <vertAlign val="subscript"/>
        <sz val="10"/>
        <rFont val="Arial"/>
        <family val="2"/>
      </rPr>
      <t>Wheat</t>
    </r>
    <r>
      <rPr>
        <sz val="10"/>
        <rFont val="Arial"/>
        <family val="0"/>
      </rPr>
      <t xml:space="preserve"> ha</t>
    </r>
    <r>
      <rPr>
        <vertAlign val="superscript"/>
        <sz val="10"/>
        <rFont val="Arial"/>
        <family val="2"/>
      </rPr>
      <t>-1</t>
    </r>
    <r>
      <rPr>
        <sz val="10"/>
        <rFont val="Arial"/>
        <family val="0"/>
      </rPr>
      <t xml:space="preserve"> year</t>
    </r>
    <r>
      <rPr>
        <vertAlign val="superscript"/>
        <sz val="10"/>
        <rFont val="Arial"/>
        <family val="2"/>
      </rPr>
      <t>-1</t>
    </r>
  </si>
  <si>
    <r>
      <t>MJ</t>
    </r>
    <r>
      <rPr>
        <vertAlign val="subscript"/>
        <sz val="10"/>
        <rFont val="Arial"/>
        <family val="2"/>
      </rPr>
      <t>Ethanol</t>
    </r>
    <r>
      <rPr>
        <sz val="10"/>
        <rFont val="Arial"/>
        <family val="0"/>
      </rPr>
      <t xml:space="preserve"> / MJ</t>
    </r>
    <r>
      <rPr>
        <vertAlign val="subscript"/>
        <sz val="10"/>
        <rFont val="Arial"/>
        <family val="2"/>
      </rPr>
      <t>Wheat</t>
    </r>
  </si>
  <si>
    <r>
      <t>MJ / MJ</t>
    </r>
    <r>
      <rPr>
        <vertAlign val="subscript"/>
        <sz val="10"/>
        <rFont val="Arial"/>
        <family val="2"/>
      </rPr>
      <t>Ethanol</t>
    </r>
  </si>
  <si>
    <t>Steam (NG boiler)</t>
  </si>
  <si>
    <r>
      <t>MJ</t>
    </r>
    <r>
      <rPr>
        <vertAlign val="subscript"/>
        <sz val="10"/>
        <rFont val="Arial"/>
        <family val="2"/>
      </rPr>
      <t>Ethanol</t>
    </r>
    <r>
      <rPr>
        <sz val="10"/>
        <rFont val="Arial"/>
        <family val="0"/>
      </rPr>
      <t xml:space="preserve"> / MJ</t>
    </r>
    <r>
      <rPr>
        <vertAlign val="subscript"/>
        <sz val="10"/>
        <rFont val="Arial"/>
        <family val="2"/>
      </rPr>
      <t>Ethanol</t>
    </r>
  </si>
  <si>
    <t>Transport per</t>
  </si>
  <si>
    <t>Ethanol</t>
  </si>
  <si>
    <t>Methanol</t>
  </si>
  <si>
    <t>MJ</t>
  </si>
  <si>
    <t>Pesticides</t>
  </si>
  <si>
    <t>Gasoline</t>
  </si>
  <si>
    <t>Diesel</t>
  </si>
  <si>
    <t>km</t>
  </si>
  <si>
    <t>Seeding material</t>
  </si>
  <si>
    <t>Rapeseed</t>
  </si>
  <si>
    <t>Quantity of product</t>
  </si>
  <si>
    <t>LHV</t>
  </si>
  <si>
    <t>MJ/kg</t>
  </si>
  <si>
    <t>kWh/kg</t>
  </si>
  <si>
    <t>HFO</t>
  </si>
  <si>
    <t>Density</t>
  </si>
  <si>
    <t>Wheat straw</t>
  </si>
  <si>
    <t>DDGS</t>
  </si>
  <si>
    <t>Sugar cane</t>
  </si>
  <si>
    <t>Moisture content</t>
  </si>
  <si>
    <t>Pure CaO for processes</t>
  </si>
  <si>
    <t>Ammonia</t>
  </si>
  <si>
    <t>Yield</t>
  </si>
  <si>
    <t>Energy consumption</t>
  </si>
  <si>
    <t>Total emission before allocation:</t>
  </si>
  <si>
    <r>
      <t>kg ha</t>
    </r>
    <r>
      <rPr>
        <vertAlign val="superscript"/>
        <sz val="10"/>
        <rFont val="Arial"/>
        <family val="2"/>
      </rPr>
      <t>-1</t>
    </r>
    <r>
      <rPr>
        <sz val="10"/>
        <rFont val="Arial"/>
        <family val="0"/>
      </rPr>
      <t xml:space="preserve"> year</t>
    </r>
    <r>
      <rPr>
        <vertAlign val="superscript"/>
        <sz val="10"/>
        <rFont val="Arial"/>
        <family val="2"/>
      </rPr>
      <t>-1</t>
    </r>
  </si>
  <si>
    <r>
      <t>MJ ha</t>
    </r>
    <r>
      <rPr>
        <vertAlign val="superscript"/>
        <sz val="10"/>
        <rFont val="Arial"/>
        <family val="2"/>
      </rPr>
      <t>-1</t>
    </r>
    <r>
      <rPr>
        <sz val="10"/>
        <rFont val="Arial"/>
        <family val="0"/>
      </rPr>
      <t xml:space="preserve"> year</t>
    </r>
    <r>
      <rPr>
        <vertAlign val="superscript"/>
        <sz val="10"/>
        <rFont val="Arial"/>
        <family val="2"/>
      </rPr>
      <t>-1</t>
    </r>
  </si>
  <si>
    <r>
      <t>kg N ha</t>
    </r>
    <r>
      <rPr>
        <vertAlign val="superscript"/>
        <sz val="10"/>
        <rFont val="Arial"/>
        <family val="2"/>
      </rPr>
      <t xml:space="preserve">-1 </t>
    </r>
    <r>
      <rPr>
        <sz val="10"/>
        <rFont val="Arial"/>
        <family val="0"/>
      </rPr>
      <t>year</t>
    </r>
    <r>
      <rPr>
        <vertAlign val="superscript"/>
        <sz val="10"/>
        <rFont val="Arial"/>
        <family val="2"/>
      </rPr>
      <t>-1</t>
    </r>
  </si>
  <si>
    <r>
      <t>kg K</t>
    </r>
    <r>
      <rPr>
        <vertAlign val="subscript"/>
        <sz val="10"/>
        <rFont val="Arial"/>
        <family val="2"/>
      </rPr>
      <t>2</t>
    </r>
    <r>
      <rPr>
        <sz val="10"/>
        <rFont val="Arial"/>
        <family val="0"/>
      </rPr>
      <t>O ha</t>
    </r>
    <r>
      <rPr>
        <vertAlign val="superscript"/>
        <sz val="10"/>
        <rFont val="Arial"/>
        <family val="2"/>
      </rPr>
      <t>-1</t>
    </r>
    <r>
      <rPr>
        <sz val="10"/>
        <rFont val="Arial"/>
        <family val="0"/>
      </rPr>
      <t xml:space="preserve"> year</t>
    </r>
    <r>
      <rPr>
        <vertAlign val="superscript"/>
        <sz val="10"/>
        <rFont val="Arial"/>
        <family val="2"/>
      </rPr>
      <t>-1</t>
    </r>
  </si>
  <si>
    <r>
      <t>kg P</t>
    </r>
    <r>
      <rPr>
        <vertAlign val="subscript"/>
        <sz val="10"/>
        <rFont val="Arial"/>
        <family val="2"/>
      </rPr>
      <t>2</t>
    </r>
    <r>
      <rPr>
        <sz val="10"/>
        <rFont val="Arial"/>
        <family val="0"/>
      </rPr>
      <t>O</t>
    </r>
    <r>
      <rPr>
        <vertAlign val="subscript"/>
        <sz val="10"/>
        <rFont val="Arial"/>
        <family val="2"/>
      </rPr>
      <t>5</t>
    </r>
    <r>
      <rPr>
        <sz val="10"/>
        <rFont val="Arial"/>
        <family val="0"/>
      </rPr>
      <t xml:space="preserve"> ha</t>
    </r>
    <r>
      <rPr>
        <vertAlign val="superscript"/>
        <sz val="10"/>
        <rFont val="Arial"/>
        <family val="2"/>
      </rPr>
      <t>-1</t>
    </r>
    <r>
      <rPr>
        <sz val="10"/>
        <rFont val="Arial"/>
        <family val="0"/>
      </rPr>
      <t xml:space="preserve"> year</t>
    </r>
    <r>
      <rPr>
        <vertAlign val="superscript"/>
        <sz val="10"/>
        <rFont val="Arial"/>
        <family val="2"/>
      </rPr>
      <t>-1</t>
    </r>
  </si>
  <si>
    <t>Calculated emissions</t>
  </si>
  <si>
    <t>over main- and byproduct</t>
  </si>
  <si>
    <t>Total:</t>
  </si>
  <si>
    <t>Result</t>
  </si>
  <si>
    <t>Corn</t>
  </si>
  <si>
    <t>Ethanol plant</t>
  </si>
  <si>
    <r>
      <t>MJ</t>
    </r>
    <r>
      <rPr>
        <vertAlign val="subscript"/>
        <sz val="10"/>
        <rFont val="Arial"/>
        <family val="2"/>
      </rPr>
      <t>Ethanol</t>
    </r>
    <r>
      <rPr>
        <sz val="10"/>
        <rFont val="Arial"/>
        <family val="0"/>
      </rPr>
      <t xml:space="preserve"> ha</t>
    </r>
    <r>
      <rPr>
        <vertAlign val="superscript"/>
        <sz val="10"/>
        <rFont val="Arial"/>
        <family val="2"/>
      </rPr>
      <t>-1</t>
    </r>
    <r>
      <rPr>
        <sz val="10"/>
        <rFont val="Arial"/>
        <family val="0"/>
      </rPr>
      <t xml:space="preserve"> year</t>
    </r>
    <r>
      <rPr>
        <vertAlign val="superscript"/>
        <sz val="10"/>
        <rFont val="Arial"/>
        <family val="2"/>
      </rPr>
      <t>-1</t>
    </r>
  </si>
  <si>
    <t>Transport of ethanol</t>
  </si>
  <si>
    <t>to ethanol</t>
  </si>
  <si>
    <t>to DDGS</t>
  </si>
  <si>
    <t>Wheat</t>
  </si>
  <si>
    <r>
      <t>MJ</t>
    </r>
    <r>
      <rPr>
        <sz val="10"/>
        <rFont val="Arial"/>
        <family val="0"/>
      </rPr>
      <t xml:space="preserve"> / MJ</t>
    </r>
    <r>
      <rPr>
        <vertAlign val="subscript"/>
        <sz val="10"/>
        <rFont val="Arial"/>
        <family val="2"/>
      </rPr>
      <t>Wheat</t>
    </r>
  </si>
  <si>
    <t>Contribution main product (1 ton)</t>
  </si>
  <si>
    <r>
      <t>g CO</t>
    </r>
    <r>
      <rPr>
        <vertAlign val="subscript"/>
        <sz val="10"/>
        <rFont val="Arial"/>
        <family val="2"/>
      </rPr>
      <t>2,eq</t>
    </r>
    <r>
      <rPr>
        <sz val="10"/>
        <rFont val="Arial"/>
        <family val="2"/>
      </rPr>
      <t xml:space="preserve"> / MJ</t>
    </r>
    <r>
      <rPr>
        <vertAlign val="subscript"/>
        <sz val="10"/>
        <rFont val="Arial"/>
        <family val="2"/>
      </rPr>
      <t>Ethanol</t>
    </r>
  </si>
  <si>
    <t>Glycerol</t>
  </si>
  <si>
    <t>Lignite</t>
  </si>
  <si>
    <t>Crude vegetable oil</t>
  </si>
  <si>
    <t>Soybean oil</t>
  </si>
  <si>
    <t>Soybeans</t>
  </si>
  <si>
    <t>FFB</t>
  </si>
  <si>
    <t>Palm oil</t>
  </si>
  <si>
    <t>Palm kernel meal</t>
  </si>
  <si>
    <t>Animal fat</t>
  </si>
  <si>
    <t>Agro chemicals</t>
  </si>
  <si>
    <r>
      <t>Field N</t>
    </r>
    <r>
      <rPr>
        <b/>
        <vertAlign val="subscript"/>
        <sz val="10"/>
        <rFont val="Arial"/>
        <family val="2"/>
      </rPr>
      <t>2</t>
    </r>
    <r>
      <rPr>
        <b/>
        <sz val="10"/>
        <rFont val="Arial"/>
        <family val="2"/>
      </rPr>
      <t>O emissions</t>
    </r>
  </si>
  <si>
    <t>Total</t>
  </si>
  <si>
    <r>
      <t>g CO</t>
    </r>
    <r>
      <rPr>
        <b/>
        <vertAlign val="subscript"/>
        <sz val="10"/>
        <color indexed="9"/>
        <rFont val="Arial"/>
        <family val="2"/>
      </rPr>
      <t>2,eq</t>
    </r>
    <r>
      <rPr>
        <b/>
        <sz val="10"/>
        <color indexed="9"/>
        <rFont val="Arial"/>
        <family val="2"/>
      </rPr>
      <t xml:space="preserve"> / MJ</t>
    </r>
    <r>
      <rPr>
        <b/>
        <vertAlign val="subscript"/>
        <sz val="10"/>
        <color indexed="9"/>
        <rFont val="Arial"/>
        <family val="2"/>
      </rPr>
      <t>Ethanol</t>
    </r>
  </si>
  <si>
    <t>Totals</t>
  </si>
  <si>
    <t>Overview Results</t>
  </si>
  <si>
    <t>Calculation per phase</t>
  </si>
  <si>
    <r>
      <t>MJ</t>
    </r>
    <r>
      <rPr>
        <vertAlign val="subscript"/>
        <sz val="10"/>
        <rFont val="Arial"/>
        <family val="2"/>
      </rPr>
      <t>Wheat</t>
    </r>
    <r>
      <rPr>
        <sz val="10"/>
        <rFont val="Arial"/>
        <family val="2"/>
      </rPr>
      <t xml:space="preserve"> ha</t>
    </r>
    <r>
      <rPr>
        <vertAlign val="superscript"/>
        <sz val="10"/>
        <rFont val="Arial"/>
        <family val="2"/>
      </rPr>
      <t>-1</t>
    </r>
    <r>
      <rPr>
        <sz val="10"/>
        <rFont val="Arial"/>
        <family val="2"/>
      </rPr>
      <t xml:space="preserve"> year</t>
    </r>
    <r>
      <rPr>
        <vertAlign val="superscript"/>
        <sz val="10"/>
        <rFont val="Arial"/>
        <family val="2"/>
      </rPr>
      <t>-1</t>
    </r>
  </si>
  <si>
    <r>
      <t>g CO</t>
    </r>
    <r>
      <rPr>
        <vertAlign val="subscript"/>
        <sz val="10"/>
        <rFont val="Arial"/>
        <family val="2"/>
      </rPr>
      <t>2</t>
    </r>
  </si>
  <si>
    <r>
      <t>g CH</t>
    </r>
    <r>
      <rPr>
        <vertAlign val="subscript"/>
        <sz val="10"/>
        <rFont val="Arial"/>
        <family val="2"/>
      </rPr>
      <t>4</t>
    </r>
  </si>
  <si>
    <r>
      <t>g N</t>
    </r>
    <r>
      <rPr>
        <vertAlign val="subscript"/>
        <sz val="10"/>
        <rFont val="Arial"/>
        <family val="2"/>
      </rPr>
      <t>2</t>
    </r>
    <r>
      <rPr>
        <sz val="10"/>
        <rFont val="Arial"/>
        <family val="2"/>
      </rPr>
      <t>O</t>
    </r>
  </si>
  <si>
    <r>
      <t>g CO</t>
    </r>
    <r>
      <rPr>
        <vertAlign val="subscript"/>
        <sz val="10"/>
        <rFont val="Arial"/>
        <family val="2"/>
      </rPr>
      <t>2, eq</t>
    </r>
  </si>
  <si>
    <t>Allocation</t>
  </si>
  <si>
    <t>Total emission after allocation:</t>
  </si>
  <si>
    <t>Filling station</t>
  </si>
  <si>
    <t>Total emission without allocation:</t>
  </si>
  <si>
    <t>Total result</t>
  </si>
  <si>
    <t>Total emission with allocation:</t>
  </si>
  <si>
    <t>Emission Reduction:</t>
  </si>
  <si>
    <t>factor</t>
  </si>
  <si>
    <t>By-product DDGS</t>
  </si>
  <si>
    <t>By-product Straw</t>
  </si>
  <si>
    <t>to and from depot</t>
  </si>
  <si>
    <t>Energy cons. depot</t>
  </si>
  <si>
    <t>Allocation factors</t>
  </si>
  <si>
    <t>STANDARD VALUES</t>
  </si>
  <si>
    <t xml:space="preserve">parameter: </t>
  </si>
  <si>
    <t>GHG emission coefficient</t>
  </si>
  <si>
    <t>Fossil energy input</t>
  </si>
  <si>
    <t>Source</t>
  </si>
  <si>
    <t>Remark / question</t>
  </si>
  <si>
    <t xml:space="preserve">unit: </t>
  </si>
  <si>
    <t>MJ/t.km</t>
  </si>
  <si>
    <t xml:space="preserve"> (at 0% water)</t>
  </si>
  <si>
    <t xml:space="preserve">Agro inputs </t>
  </si>
  <si>
    <t>N-fertiliser</t>
  </si>
  <si>
    <t>CaO-fertiliser</t>
  </si>
  <si>
    <t>Seeds- corn</t>
  </si>
  <si>
    <t>Seeds- rapeseed</t>
  </si>
  <si>
    <t>Seeds- soy bean</t>
  </si>
  <si>
    <t>Seeds- sugarbeet</t>
  </si>
  <si>
    <t>Seeds- sugarcane</t>
  </si>
  <si>
    <t>Seeds- sunflower</t>
  </si>
  <si>
    <t>Seeds- wheat</t>
  </si>
  <si>
    <t>EFB compost (palm oil)</t>
  </si>
  <si>
    <t xml:space="preserve">Fuels- gasses </t>
  </si>
  <si>
    <t>Fuels- liquids</t>
  </si>
  <si>
    <t>WTT Appendix 1 (v3) paragraph 2.1 &amp; 3 (Z1)</t>
  </si>
  <si>
    <t>WTT Appendix 1 (v3) paragraph 2.1 &amp; 6.1 (GA1)</t>
  </si>
  <si>
    <t>FAME</t>
  </si>
  <si>
    <t>or "XME" which is RME, PME, SME etc</t>
  </si>
  <si>
    <t>Fuels / feedstock / byproducts - solids</t>
  </si>
  <si>
    <t>Hard coal</t>
  </si>
  <si>
    <t>Sugar beet</t>
  </si>
  <si>
    <t>Sunflowerseed</t>
  </si>
  <si>
    <t>BioOil (byproduct FAME from waste oil)</t>
  </si>
  <si>
    <t>Rapeseed meal</t>
  </si>
  <si>
    <t>Soy bean meal</t>
  </si>
  <si>
    <t>Sugar beet pulp</t>
  </si>
  <si>
    <t>Sugar beet slops</t>
  </si>
  <si>
    <t>Electricity</t>
  </si>
  <si>
    <t xml:space="preserve">Conversion inputs </t>
  </si>
  <si>
    <t>n-Hexane</t>
  </si>
  <si>
    <t>Hydrocloric acid (HCl)</t>
  </si>
  <si>
    <t>Sodium Hydroxide (NaOH)</t>
  </si>
  <si>
    <t>Potassium hydroxide (KOH)</t>
  </si>
  <si>
    <t>Hydrogen (for HVO)</t>
  </si>
  <si>
    <t xml:space="preserve">Transport efficiencies </t>
  </si>
  <si>
    <t>Truck for dry product (Diesel)</t>
  </si>
  <si>
    <t>Truck for FFB transport (Diesel)</t>
  </si>
  <si>
    <t>Ocean bulk carrier (Fuel oil)</t>
  </si>
  <si>
    <t>Ship /product tanker 50kt (Fuel oil)</t>
  </si>
  <si>
    <t>Local (10 km) pipeline</t>
  </si>
  <si>
    <t>Rail (Electric, MV)</t>
  </si>
  <si>
    <t>corn</t>
  </si>
  <si>
    <t>Corn to ethanol default</t>
  </si>
  <si>
    <t>yield</t>
  </si>
  <si>
    <t>kg/ha</t>
  </si>
  <si>
    <t>input - N</t>
  </si>
  <si>
    <t>kg N/ha</t>
  </si>
  <si>
    <t>kgCO2/ha</t>
  </si>
  <si>
    <t>kgCO2/t</t>
  </si>
  <si>
    <t>kgCO2/t ethanol</t>
  </si>
  <si>
    <t>kgCO2/GJ</t>
  </si>
  <si>
    <t>kgCO2/GJ ethanol</t>
  </si>
  <si>
    <t>input - K</t>
  </si>
  <si>
    <t>kg K2O/ha'</t>
  </si>
  <si>
    <t>input - P</t>
  </si>
  <si>
    <t>kgP2O5/ha</t>
  </si>
  <si>
    <t>pesticides</t>
  </si>
  <si>
    <t>field emissions</t>
  </si>
  <si>
    <t>gN2O/MJ corn</t>
  </si>
  <si>
    <t>gCO2/Mjcorn</t>
  </si>
  <si>
    <t>corn transport distance</t>
  </si>
  <si>
    <t>oneway</t>
  </si>
  <si>
    <t>GJ/t ethanol</t>
  </si>
  <si>
    <t>conversion yield</t>
  </si>
  <si>
    <t>ton ethanol / ton corn</t>
  </si>
  <si>
    <t>electricty</t>
  </si>
  <si>
    <t>kWh/gallon</t>
  </si>
  <si>
    <t>kWh/litre</t>
  </si>
  <si>
    <t>steam</t>
  </si>
  <si>
    <t>BTU/gal</t>
  </si>
  <si>
    <t>MJ/MJ ethanol</t>
  </si>
  <si>
    <t>MJ/l</t>
  </si>
  <si>
    <t>MJ/t</t>
  </si>
  <si>
    <t>co-product yield</t>
  </si>
  <si>
    <t>kg DDGS/litre ethanol</t>
  </si>
  <si>
    <t>kg DDGS/t ethanol</t>
  </si>
  <si>
    <t>GJ/ GJ</t>
  </si>
  <si>
    <t>ethanol transport distance</t>
  </si>
  <si>
    <t>?</t>
  </si>
  <si>
    <t>ethanol</t>
  </si>
  <si>
    <t>ethanol depot electricity</t>
  </si>
  <si>
    <t>MJ elec/MJ ethanol</t>
  </si>
  <si>
    <t>ethanol filling station</t>
  </si>
  <si>
    <t>TOTAL</t>
  </si>
  <si>
    <t>wheat</t>
  </si>
  <si>
    <t>diesel</t>
  </si>
  <si>
    <t>MJ/ha</t>
  </si>
  <si>
    <t>kgCO2/t wheat</t>
  </si>
  <si>
    <t>kg CO2/t ethanol</t>
  </si>
  <si>
    <t>gCO2/MJ ethanol</t>
  </si>
  <si>
    <t>N</t>
  </si>
  <si>
    <t>K</t>
  </si>
  <si>
    <t>kg K2O/ha</t>
  </si>
  <si>
    <t>P</t>
  </si>
  <si>
    <t>kg P2O5/ha</t>
  </si>
  <si>
    <t>seed</t>
  </si>
  <si>
    <t>gN2O/MJ wheat</t>
  </si>
  <si>
    <t>electricity</t>
  </si>
  <si>
    <t>MJ/MJ wheat</t>
  </si>
  <si>
    <t>gCO2/MJ wheat</t>
  </si>
  <si>
    <t>wheat transport</t>
  </si>
  <si>
    <t>km (empty return)</t>
  </si>
  <si>
    <t>conversions yield</t>
  </si>
  <si>
    <t>t wheat/ t ethanol</t>
  </si>
  <si>
    <t>DDGS yield</t>
  </si>
  <si>
    <t>ton DDGS/t ethanol</t>
  </si>
  <si>
    <t>NG input</t>
  </si>
  <si>
    <t>ethanol transport</t>
  </si>
  <si>
    <t>depot</t>
  </si>
  <si>
    <t>filling</t>
  </si>
  <si>
    <t>reference</t>
  </si>
  <si>
    <t>typical</t>
  </si>
  <si>
    <t>My calc</t>
  </si>
  <si>
    <t>Urea</t>
  </si>
  <si>
    <t>Transport India</t>
  </si>
  <si>
    <r>
      <t>CO</t>
    </r>
    <r>
      <rPr>
        <vertAlign val="subscript"/>
        <sz val="10"/>
        <rFont val="Verdana"/>
        <family val="2"/>
      </rPr>
      <t>2</t>
    </r>
  </si>
  <si>
    <r>
      <t>CH</t>
    </r>
    <r>
      <rPr>
        <vertAlign val="subscript"/>
        <sz val="10"/>
        <rFont val="Verdana"/>
        <family val="2"/>
      </rPr>
      <t>4</t>
    </r>
  </si>
  <si>
    <r>
      <t>N</t>
    </r>
    <r>
      <rPr>
        <vertAlign val="subscript"/>
        <sz val="10"/>
        <rFont val="Verdana"/>
        <family val="2"/>
      </rPr>
      <t>2</t>
    </r>
    <r>
      <rPr>
        <sz val="10"/>
        <rFont val="Verdana"/>
        <family val="2"/>
      </rPr>
      <t>O</t>
    </r>
  </si>
  <si>
    <r>
      <t>Phosporic acid (H</t>
    </r>
    <r>
      <rPr>
        <vertAlign val="subscript"/>
        <sz val="10"/>
        <rFont val="Verdana"/>
        <family val="2"/>
      </rPr>
      <t>3</t>
    </r>
    <r>
      <rPr>
        <sz val="10"/>
        <rFont val="Verdana"/>
        <family val="2"/>
      </rPr>
      <t>PO</t>
    </r>
    <r>
      <rPr>
        <vertAlign val="subscript"/>
        <sz val="10"/>
        <rFont val="Verdana"/>
        <family val="2"/>
      </rPr>
      <t>4</t>
    </r>
    <r>
      <rPr>
        <sz val="10"/>
        <rFont val="Verdana"/>
        <family val="2"/>
      </rPr>
      <t>)</t>
    </r>
  </si>
  <si>
    <r>
      <t>Sodium carbonate (Na</t>
    </r>
    <r>
      <rPr>
        <vertAlign val="subscript"/>
        <sz val="10"/>
        <rFont val="Verdana"/>
        <family val="2"/>
      </rPr>
      <t>2</t>
    </r>
    <r>
      <rPr>
        <sz val="10"/>
        <rFont val="Verdana"/>
        <family val="2"/>
      </rPr>
      <t>CO</t>
    </r>
    <r>
      <rPr>
        <vertAlign val="subscript"/>
        <sz val="10"/>
        <rFont val="Verdana"/>
        <family val="2"/>
      </rPr>
      <t>3</t>
    </r>
    <r>
      <rPr>
        <sz val="10"/>
        <rFont val="Verdana"/>
        <family val="2"/>
      </rPr>
      <t>)</t>
    </r>
  </si>
  <si>
    <r>
      <t>Sulphuric acid (H</t>
    </r>
    <r>
      <rPr>
        <vertAlign val="subscript"/>
        <sz val="10"/>
        <rFont val="Verdana"/>
        <family val="2"/>
      </rPr>
      <t>2</t>
    </r>
    <r>
      <rPr>
        <sz val="10"/>
        <rFont val="Verdana"/>
        <family val="2"/>
      </rPr>
      <t>SO</t>
    </r>
    <r>
      <rPr>
        <vertAlign val="subscript"/>
        <sz val="10"/>
        <rFont val="Verdana"/>
        <family val="2"/>
      </rPr>
      <t>4</t>
    </r>
    <r>
      <rPr>
        <sz val="10"/>
        <rFont val="Verdana"/>
        <family val="2"/>
      </rPr>
      <t>)</t>
    </r>
  </si>
  <si>
    <r>
      <t>K</t>
    </r>
    <r>
      <rPr>
        <vertAlign val="subscript"/>
        <sz val="10"/>
        <rFont val="Arial"/>
        <family val="2"/>
      </rPr>
      <t>2</t>
    </r>
    <r>
      <rPr>
        <sz val="10"/>
        <rFont val="Arial"/>
        <family val="0"/>
      </rPr>
      <t>O-fertiliser</t>
    </r>
  </si>
  <si>
    <r>
      <t>P</t>
    </r>
    <r>
      <rPr>
        <vertAlign val="subscript"/>
        <sz val="10"/>
        <rFont val="Arial"/>
        <family val="2"/>
      </rPr>
      <t>2</t>
    </r>
    <r>
      <rPr>
        <sz val="10"/>
        <rFont val="Arial"/>
        <family val="0"/>
      </rPr>
      <t>O</t>
    </r>
    <r>
      <rPr>
        <vertAlign val="subscript"/>
        <sz val="10"/>
        <rFont val="Arial"/>
        <family val="2"/>
      </rPr>
      <t>5</t>
    </r>
    <r>
      <rPr>
        <sz val="10"/>
        <rFont val="Arial"/>
        <family val="0"/>
      </rPr>
      <t>-fertiliser</t>
    </r>
  </si>
  <si>
    <t>Electricity EU mix LV</t>
  </si>
  <si>
    <t>Electricity EU mix MV</t>
  </si>
  <si>
    <t>Main product:</t>
  </si>
  <si>
    <t>By-product:</t>
  </si>
  <si>
    <t>User defined standard values</t>
  </si>
  <si>
    <r>
      <t>MJ / MJ</t>
    </r>
    <r>
      <rPr>
        <vertAlign val="subscript"/>
        <sz val="10"/>
        <rFont val="Arial"/>
        <family val="0"/>
      </rPr>
      <t>Wheat, input</t>
    </r>
  </si>
  <si>
    <r>
      <t>ton km / MJ</t>
    </r>
    <r>
      <rPr>
        <vertAlign val="subscript"/>
        <sz val="10"/>
        <rFont val="Arial"/>
        <family val="2"/>
      </rPr>
      <t>Wheat</t>
    </r>
  </si>
  <si>
    <r>
      <t>ton km / MJ</t>
    </r>
    <r>
      <rPr>
        <vertAlign val="subscript"/>
        <sz val="10"/>
        <rFont val="Arial"/>
        <family val="2"/>
      </rPr>
      <t>Ethanol</t>
    </r>
  </si>
  <si>
    <t xml:space="preserve">Fuel  </t>
  </si>
  <si>
    <t>Natural gas (4000 km, Russian NG quality)</t>
  </si>
  <si>
    <t>Natural gas (4000 km, EU Mix qualilty)</t>
  </si>
  <si>
    <r>
      <t>P</t>
    </r>
    <r>
      <rPr>
        <vertAlign val="subscript"/>
        <sz val="10"/>
        <rFont val="Verdana"/>
        <family val="2"/>
      </rPr>
      <t>2</t>
    </r>
    <r>
      <rPr>
        <sz val="10"/>
        <rFont val="Verdana"/>
        <family val="2"/>
      </rPr>
      <t>O</t>
    </r>
    <r>
      <rPr>
        <vertAlign val="subscript"/>
        <sz val="10"/>
        <rFont val="Verdana"/>
        <family val="2"/>
      </rPr>
      <t>5</t>
    </r>
    <r>
      <rPr>
        <sz val="10"/>
        <rFont val="Verdana"/>
        <family val="2"/>
      </rPr>
      <t>-fertiliser</t>
    </r>
  </si>
  <si>
    <r>
      <t>K</t>
    </r>
    <r>
      <rPr>
        <vertAlign val="subscript"/>
        <sz val="10"/>
        <rFont val="Verdana"/>
        <family val="2"/>
      </rPr>
      <t>2</t>
    </r>
    <r>
      <rPr>
        <sz val="10"/>
        <rFont val="Verdana"/>
        <family val="2"/>
      </rPr>
      <t>O-fertiliser</t>
    </r>
  </si>
  <si>
    <t>Truck for liquids (Diesel)</t>
  </si>
  <si>
    <t>Calculated from value above, correction for weight of liquid container (2 ton) in comparison to loaded truck weight (26 ton)</t>
  </si>
  <si>
    <r>
      <t>kg</t>
    </r>
    <r>
      <rPr>
        <vertAlign val="subscript"/>
        <sz val="10"/>
        <rFont val="Arial"/>
        <family val="0"/>
      </rPr>
      <t>Wheat</t>
    </r>
    <r>
      <rPr>
        <sz val="10"/>
        <rFont val="Arial"/>
        <family val="2"/>
      </rPr>
      <t>/MJ</t>
    </r>
    <r>
      <rPr>
        <vertAlign val="subscript"/>
        <sz val="10"/>
        <rFont val="Arial"/>
        <family val="2"/>
      </rPr>
      <t>ethanol</t>
    </r>
  </si>
  <si>
    <t>Info</t>
  </si>
  <si>
    <t>per kg wheat</t>
  </si>
  <si>
    <t xml:space="preserve">Ethanol from sugarcane  </t>
  </si>
  <si>
    <t>Standard values</t>
  </si>
  <si>
    <r>
      <t>e</t>
    </r>
    <r>
      <rPr>
        <b/>
        <vertAlign val="subscript"/>
        <sz val="10"/>
        <rFont val="Arial"/>
        <family val="2"/>
      </rPr>
      <t>ccr</t>
    </r>
  </si>
  <si>
    <r>
      <t>e</t>
    </r>
    <r>
      <rPr>
        <b/>
        <vertAlign val="subscript"/>
        <sz val="10"/>
        <rFont val="Arial"/>
        <family val="2"/>
      </rPr>
      <t>ccs</t>
    </r>
  </si>
  <si>
    <r>
      <t>CO</t>
    </r>
    <r>
      <rPr>
        <b/>
        <vertAlign val="subscript"/>
        <sz val="12"/>
        <color indexed="9"/>
        <rFont val="Arial"/>
        <family val="2"/>
      </rPr>
      <t>2</t>
    </r>
    <r>
      <rPr>
        <b/>
        <sz val="12"/>
        <color indexed="9"/>
        <rFont val="Arial"/>
        <family val="2"/>
      </rPr>
      <t xml:space="preserve"> capture and replacement</t>
    </r>
  </si>
  <si>
    <r>
      <t>CO</t>
    </r>
    <r>
      <rPr>
        <b/>
        <vertAlign val="subscript"/>
        <sz val="12"/>
        <color indexed="9"/>
        <rFont val="Arial"/>
        <family val="2"/>
      </rPr>
      <t>2</t>
    </r>
    <r>
      <rPr>
        <b/>
        <sz val="12"/>
        <color indexed="9"/>
        <rFont val="Arial"/>
        <family val="2"/>
      </rPr>
      <t xml:space="preserve"> capture and geological storage</t>
    </r>
  </si>
  <si>
    <r>
      <t>Cultivation e</t>
    </r>
    <r>
      <rPr>
        <b/>
        <vertAlign val="subscript"/>
        <sz val="12"/>
        <color indexed="9"/>
        <rFont val="Arial"/>
        <family val="2"/>
      </rPr>
      <t>ec</t>
    </r>
  </si>
  <si>
    <r>
      <t>Processing e</t>
    </r>
    <r>
      <rPr>
        <b/>
        <vertAlign val="subscript"/>
        <sz val="12"/>
        <color indexed="9"/>
        <rFont val="Arial"/>
        <family val="2"/>
      </rPr>
      <t>p</t>
    </r>
  </si>
  <si>
    <r>
      <t>Transport e</t>
    </r>
    <r>
      <rPr>
        <b/>
        <vertAlign val="subscript"/>
        <sz val="12"/>
        <color indexed="9"/>
        <rFont val="Arial"/>
        <family val="2"/>
      </rPr>
      <t>td</t>
    </r>
  </si>
  <si>
    <t>Land use change, including bonus for production on non-agriculture or degraded land</t>
  </si>
  <si>
    <t>Improved agricultural management</t>
  </si>
  <si>
    <r>
      <t>e</t>
    </r>
    <r>
      <rPr>
        <b/>
        <vertAlign val="subscript"/>
        <sz val="10"/>
        <rFont val="Arial"/>
        <family val="2"/>
      </rPr>
      <t>sca</t>
    </r>
  </si>
  <si>
    <r>
      <t>e</t>
    </r>
    <r>
      <rPr>
        <b/>
        <vertAlign val="subscript"/>
        <sz val="10"/>
        <rFont val="Arial"/>
        <family val="2"/>
      </rPr>
      <t>l</t>
    </r>
  </si>
  <si>
    <r>
      <t>e</t>
    </r>
    <r>
      <rPr>
        <b/>
        <vertAlign val="subscript"/>
        <sz val="12"/>
        <color indexed="9"/>
        <rFont val="Arial"/>
        <family val="2"/>
      </rPr>
      <t>sca</t>
    </r>
    <r>
      <rPr>
        <b/>
        <sz val="12"/>
        <color indexed="9"/>
        <rFont val="Arial"/>
        <family val="2"/>
      </rPr>
      <t xml:space="preserve"> + e</t>
    </r>
    <r>
      <rPr>
        <b/>
        <vertAlign val="subscript"/>
        <sz val="12"/>
        <color indexed="9"/>
        <rFont val="Arial"/>
        <family val="2"/>
      </rPr>
      <t>ccr</t>
    </r>
    <r>
      <rPr>
        <b/>
        <sz val="12"/>
        <color indexed="9"/>
        <rFont val="Arial"/>
        <family val="2"/>
      </rPr>
      <t xml:space="preserve"> + e</t>
    </r>
    <r>
      <rPr>
        <b/>
        <vertAlign val="subscript"/>
        <sz val="12"/>
        <color indexed="9"/>
        <rFont val="Arial"/>
        <family val="2"/>
      </rPr>
      <t>ccs</t>
    </r>
  </si>
  <si>
    <r>
      <t>kg CO</t>
    </r>
    <r>
      <rPr>
        <vertAlign val="subscript"/>
        <sz val="10"/>
        <rFont val="Arial"/>
        <family val="2"/>
      </rPr>
      <t>2, eq</t>
    </r>
  </si>
  <si>
    <t>About this Excel file</t>
  </si>
  <si>
    <t>Energy content (1,14 ton dry matter)</t>
  </si>
  <si>
    <t>Energy content (1 ton)</t>
  </si>
  <si>
    <t xml:space="preserve"> BioGrace  -   Excel based biofuel GHG calculations</t>
  </si>
  <si>
    <r>
      <t>g CO</t>
    </r>
    <r>
      <rPr>
        <vertAlign val="subscript"/>
        <sz val="10"/>
        <rFont val="Arial"/>
        <family val="2"/>
      </rPr>
      <t>2,eq</t>
    </r>
    <r>
      <rPr>
        <sz val="10"/>
        <rFont val="Arial"/>
        <family val="0"/>
      </rPr>
      <t xml:space="preserve"> / MJ</t>
    </r>
    <r>
      <rPr>
        <vertAlign val="subscript"/>
        <sz val="10"/>
        <rFont val="Arial"/>
        <family val="2"/>
      </rPr>
      <t>ethanol</t>
    </r>
  </si>
  <si>
    <t>Emissions per MJ ethanol</t>
  </si>
  <si>
    <t>per ha, year</t>
  </si>
  <si>
    <t>Calculations in this Excel sheet……</t>
  </si>
  <si>
    <t>Fuller's earth</t>
  </si>
  <si>
    <t>Cycle-hexane</t>
  </si>
  <si>
    <t>Lubricants</t>
  </si>
  <si>
    <t>NG boiler</t>
  </si>
  <si>
    <t>Straw CHP</t>
  </si>
  <si>
    <r>
      <t>Land use change e</t>
    </r>
    <r>
      <rPr>
        <b/>
        <vertAlign val="subscript"/>
        <sz val="12"/>
        <color indexed="9"/>
        <rFont val="Arial"/>
        <family val="2"/>
      </rPr>
      <t>l</t>
    </r>
  </si>
  <si>
    <t>http://re.jrc.ec.europa.eu/biof/xls/Biofuels%20pathways%20RED%20method%2014Nov2008.xls</t>
  </si>
  <si>
    <r>
      <t xml:space="preserve"> 2. </t>
    </r>
    <r>
      <rPr>
        <b/>
        <sz val="10"/>
        <rFont val="Arial"/>
        <family val="2"/>
      </rPr>
      <t>List of standard values</t>
    </r>
    <r>
      <rPr>
        <sz val="10"/>
        <rFont val="Arial"/>
        <family val="0"/>
      </rPr>
      <t xml:space="preserve"> as provided by the JEC consortium</t>
    </r>
  </si>
  <si>
    <t>http://ies.jrc.ec.europa.eu/WTW</t>
  </si>
  <si>
    <t>Use of this Excel file</t>
  </si>
  <si>
    <t>Values for standard values have also been calculated using LCA analysis of both the processes that supply the inputs (like N-fertiliser and natural gas) and their emissions at combustion.</t>
  </si>
  <si>
    <t>Input numbers</t>
  </si>
  <si>
    <t>In this Excel file, input numbers are distinguished from standard values (for definition see below) which companies normally cannot influence and/or measure.</t>
  </si>
  <si>
    <t>Data sources</t>
  </si>
  <si>
    <t>Data used for the calculations in this Excel file come from three sources:</t>
  </si>
  <si>
    <t>The numbers that companies in the biofuel production chain (farmers, transport organisations, traders, biofuel producers) can influence and measure.</t>
  </si>
  <si>
    <t>Cultivation of rapeseed</t>
  </si>
  <si>
    <t xml:space="preserve"> n/a </t>
  </si>
  <si>
    <r>
      <t>MJ</t>
    </r>
    <r>
      <rPr>
        <vertAlign val="subscript"/>
        <sz val="10"/>
        <rFont val="Arial"/>
        <family val="2"/>
      </rPr>
      <t>Rapeseeed</t>
    </r>
    <r>
      <rPr>
        <sz val="10"/>
        <rFont val="Arial"/>
        <family val="2"/>
      </rPr>
      <t xml:space="preserve"> ha</t>
    </r>
    <r>
      <rPr>
        <vertAlign val="superscript"/>
        <sz val="10"/>
        <rFont val="Arial"/>
        <family val="2"/>
      </rPr>
      <t>-1</t>
    </r>
    <r>
      <rPr>
        <sz val="10"/>
        <rFont val="Arial"/>
        <family val="2"/>
      </rPr>
      <t xml:space="preserve"> year</t>
    </r>
    <r>
      <rPr>
        <vertAlign val="superscript"/>
        <sz val="10"/>
        <rFont val="Arial"/>
        <family val="2"/>
      </rPr>
      <t>-1</t>
    </r>
  </si>
  <si>
    <r>
      <t>MJ / MJ</t>
    </r>
    <r>
      <rPr>
        <vertAlign val="subscript"/>
        <sz val="10"/>
        <rFont val="Arial"/>
        <family val="0"/>
      </rPr>
      <t>Rapeseed, input</t>
    </r>
  </si>
  <si>
    <r>
      <t>kg</t>
    </r>
    <r>
      <rPr>
        <vertAlign val="subscript"/>
        <sz val="10"/>
        <rFont val="Arial"/>
        <family val="0"/>
      </rPr>
      <t>Rapeseed</t>
    </r>
    <r>
      <rPr>
        <sz val="10"/>
        <rFont val="Arial"/>
        <family val="2"/>
      </rPr>
      <t>/MJ</t>
    </r>
    <r>
      <rPr>
        <vertAlign val="subscript"/>
        <sz val="10"/>
        <rFont val="Arial"/>
        <family val="2"/>
      </rPr>
      <t>FAME</t>
    </r>
  </si>
  <si>
    <t>Rapeseed drying</t>
  </si>
  <si>
    <t>Transport of rapeseed</t>
  </si>
  <si>
    <r>
      <t>MJ</t>
    </r>
    <r>
      <rPr>
        <vertAlign val="subscript"/>
        <sz val="10"/>
        <rFont val="Arial"/>
        <family val="2"/>
      </rPr>
      <t>Rapeseed</t>
    </r>
    <r>
      <rPr>
        <sz val="10"/>
        <rFont val="Arial"/>
        <family val="0"/>
      </rPr>
      <t xml:space="preserve"> / MJ</t>
    </r>
    <r>
      <rPr>
        <vertAlign val="subscript"/>
        <sz val="10"/>
        <rFont val="Arial"/>
        <family val="2"/>
      </rPr>
      <t>Rapeseed</t>
    </r>
  </si>
  <si>
    <r>
      <t>ton km / MJ</t>
    </r>
    <r>
      <rPr>
        <vertAlign val="subscript"/>
        <sz val="10"/>
        <rFont val="Arial"/>
        <family val="2"/>
      </rPr>
      <t>Rapeseed</t>
    </r>
  </si>
  <si>
    <r>
      <t>kg CaO ha</t>
    </r>
    <r>
      <rPr>
        <vertAlign val="superscript"/>
        <sz val="10"/>
        <rFont val="Arial"/>
        <family val="2"/>
      </rPr>
      <t xml:space="preserve">-1 </t>
    </r>
    <r>
      <rPr>
        <sz val="10"/>
        <rFont val="Arial"/>
        <family val="0"/>
      </rPr>
      <t>year</t>
    </r>
    <r>
      <rPr>
        <vertAlign val="superscript"/>
        <sz val="10"/>
        <rFont val="Arial"/>
        <family val="2"/>
      </rPr>
      <t>-1</t>
    </r>
  </si>
  <si>
    <t>Emissions per MJ FAME</t>
  </si>
  <si>
    <r>
      <t>g CO</t>
    </r>
    <r>
      <rPr>
        <b/>
        <vertAlign val="subscript"/>
        <sz val="10"/>
        <color indexed="9"/>
        <rFont val="Arial"/>
        <family val="2"/>
      </rPr>
      <t>2,eq</t>
    </r>
    <r>
      <rPr>
        <b/>
        <sz val="10"/>
        <color indexed="9"/>
        <rFont val="Arial"/>
        <family val="2"/>
      </rPr>
      <t xml:space="preserve"> / MJ</t>
    </r>
    <r>
      <rPr>
        <b/>
        <vertAlign val="subscript"/>
        <sz val="10"/>
        <color indexed="9"/>
        <rFont val="Arial"/>
        <family val="2"/>
      </rPr>
      <t>FAME</t>
    </r>
  </si>
  <si>
    <t>per kg rapeseed</t>
  </si>
  <si>
    <r>
      <t>MJ</t>
    </r>
    <r>
      <rPr>
        <sz val="10"/>
        <rFont val="Arial"/>
        <family val="0"/>
      </rPr>
      <t xml:space="preserve"> / MJ</t>
    </r>
    <r>
      <rPr>
        <vertAlign val="subscript"/>
        <sz val="10"/>
        <rFont val="Arial"/>
        <family val="2"/>
      </rPr>
      <t>Rapeseed</t>
    </r>
  </si>
  <si>
    <t>Extraction of oil</t>
  </si>
  <si>
    <t>Rapeseed oil</t>
  </si>
  <si>
    <t>By-product Rapeseed cake</t>
  </si>
  <si>
    <t>Chemicals</t>
  </si>
  <si>
    <t>Refining of vegetable oil</t>
  </si>
  <si>
    <r>
      <t>MJ</t>
    </r>
    <r>
      <rPr>
        <vertAlign val="subscript"/>
        <sz val="10"/>
        <rFont val="Arial"/>
        <family val="2"/>
      </rPr>
      <t>Oil</t>
    </r>
    <r>
      <rPr>
        <sz val="10"/>
        <rFont val="Arial"/>
        <family val="0"/>
      </rPr>
      <t xml:space="preserve"> / MJ</t>
    </r>
    <r>
      <rPr>
        <vertAlign val="subscript"/>
        <sz val="10"/>
        <rFont val="Arial"/>
        <family val="2"/>
      </rPr>
      <t>Rapeseed</t>
    </r>
  </si>
  <si>
    <r>
      <t>MJ / MJ</t>
    </r>
    <r>
      <rPr>
        <vertAlign val="subscript"/>
        <sz val="10"/>
        <rFont val="Arial"/>
        <family val="2"/>
      </rPr>
      <t>Oil</t>
    </r>
  </si>
  <si>
    <r>
      <t>MJ</t>
    </r>
    <r>
      <rPr>
        <vertAlign val="subscript"/>
        <sz val="10"/>
        <rFont val="Arial"/>
        <family val="2"/>
      </rPr>
      <t>Oil</t>
    </r>
    <r>
      <rPr>
        <sz val="10"/>
        <rFont val="Arial"/>
        <family val="0"/>
      </rPr>
      <t xml:space="preserve"> / MJ</t>
    </r>
    <r>
      <rPr>
        <vertAlign val="subscript"/>
        <sz val="10"/>
        <rFont val="Arial"/>
        <family val="2"/>
      </rPr>
      <t>Oil</t>
    </r>
  </si>
  <si>
    <r>
      <t>kg / MJ</t>
    </r>
    <r>
      <rPr>
        <vertAlign val="subscript"/>
        <sz val="10"/>
        <rFont val="Arial"/>
        <family val="2"/>
      </rPr>
      <t>Oil</t>
    </r>
  </si>
  <si>
    <t>Esterification</t>
  </si>
  <si>
    <t>By-product refined glycerol</t>
  </si>
  <si>
    <r>
      <t>Phosporic acid (H</t>
    </r>
    <r>
      <rPr>
        <vertAlign val="subscript"/>
        <sz val="10"/>
        <rFont val="Arial"/>
        <family val="2"/>
      </rPr>
      <t>3</t>
    </r>
    <r>
      <rPr>
        <sz val="10"/>
        <rFont val="Arial"/>
        <family val="2"/>
      </rPr>
      <t>PO</t>
    </r>
    <r>
      <rPr>
        <vertAlign val="subscript"/>
        <sz val="10"/>
        <rFont val="Arial"/>
        <family val="2"/>
      </rPr>
      <t>4</t>
    </r>
    <r>
      <rPr>
        <sz val="10"/>
        <rFont val="Arial"/>
        <family val="2"/>
      </rPr>
      <t>)</t>
    </r>
  </si>
  <si>
    <r>
      <t>Sodium carbonate (Na</t>
    </r>
    <r>
      <rPr>
        <vertAlign val="subscript"/>
        <sz val="10"/>
        <rFont val="Arial"/>
        <family val="2"/>
      </rPr>
      <t>2</t>
    </r>
    <r>
      <rPr>
        <sz val="10"/>
        <rFont val="Arial"/>
        <family val="2"/>
      </rPr>
      <t>CO</t>
    </r>
    <r>
      <rPr>
        <vertAlign val="subscript"/>
        <sz val="10"/>
        <rFont val="Arial"/>
        <family val="2"/>
      </rPr>
      <t>3</t>
    </r>
    <r>
      <rPr>
        <sz val="10"/>
        <rFont val="Arial"/>
        <family val="2"/>
      </rPr>
      <t>)</t>
    </r>
  </si>
  <si>
    <r>
      <t>MJ</t>
    </r>
    <r>
      <rPr>
        <vertAlign val="subscript"/>
        <sz val="10"/>
        <rFont val="Arial"/>
        <family val="2"/>
      </rPr>
      <t>FAME</t>
    </r>
    <r>
      <rPr>
        <sz val="10"/>
        <rFont val="Arial"/>
        <family val="0"/>
      </rPr>
      <t xml:space="preserve"> / MJ</t>
    </r>
    <r>
      <rPr>
        <vertAlign val="subscript"/>
        <sz val="10"/>
        <rFont val="Arial"/>
        <family val="2"/>
      </rPr>
      <t>Oil</t>
    </r>
  </si>
  <si>
    <t>kg / ton FAME</t>
  </si>
  <si>
    <r>
      <t>MJ / MJ</t>
    </r>
    <r>
      <rPr>
        <vertAlign val="subscript"/>
        <sz val="10"/>
        <rFont val="Arial"/>
        <family val="2"/>
      </rPr>
      <t>FAME</t>
    </r>
  </si>
  <si>
    <r>
      <t>kg / MJ</t>
    </r>
    <r>
      <rPr>
        <vertAlign val="subscript"/>
        <sz val="10"/>
        <rFont val="Arial"/>
        <family val="2"/>
      </rPr>
      <t>FAME</t>
    </r>
  </si>
  <si>
    <t>Transport of FAME</t>
  </si>
  <si>
    <r>
      <t>MJ</t>
    </r>
    <r>
      <rPr>
        <vertAlign val="subscript"/>
        <sz val="10"/>
        <rFont val="Arial"/>
        <family val="2"/>
      </rPr>
      <t>FAME</t>
    </r>
    <r>
      <rPr>
        <sz val="10"/>
        <rFont val="Arial"/>
        <family val="0"/>
      </rPr>
      <t xml:space="preserve"> / MJ</t>
    </r>
    <r>
      <rPr>
        <vertAlign val="subscript"/>
        <sz val="10"/>
        <rFont val="Arial"/>
        <family val="2"/>
      </rPr>
      <t>FAME</t>
    </r>
  </si>
  <si>
    <r>
      <t>MJ</t>
    </r>
    <r>
      <rPr>
        <vertAlign val="subscript"/>
        <sz val="10"/>
        <rFont val="Arial"/>
        <family val="2"/>
      </rPr>
      <t>Oil</t>
    </r>
    <r>
      <rPr>
        <sz val="10"/>
        <rFont val="Arial"/>
        <family val="2"/>
      </rPr>
      <t xml:space="preserve"> ha</t>
    </r>
    <r>
      <rPr>
        <vertAlign val="superscript"/>
        <sz val="10"/>
        <rFont val="Arial"/>
        <family val="2"/>
      </rPr>
      <t>-1</t>
    </r>
    <r>
      <rPr>
        <sz val="10"/>
        <rFont val="Arial"/>
        <family val="2"/>
      </rPr>
      <t xml:space="preserve"> year</t>
    </r>
    <r>
      <rPr>
        <vertAlign val="superscript"/>
        <sz val="10"/>
        <rFont val="Arial"/>
        <family val="2"/>
      </rPr>
      <t>-1</t>
    </r>
  </si>
  <si>
    <r>
      <t>MJ</t>
    </r>
    <r>
      <rPr>
        <vertAlign val="subscript"/>
        <sz val="10"/>
        <rFont val="Arial"/>
        <family val="2"/>
      </rPr>
      <t>FAME</t>
    </r>
    <r>
      <rPr>
        <sz val="10"/>
        <rFont val="Arial"/>
        <family val="2"/>
      </rPr>
      <t xml:space="preserve"> ha</t>
    </r>
    <r>
      <rPr>
        <vertAlign val="superscript"/>
        <sz val="10"/>
        <rFont val="Arial"/>
        <family val="2"/>
      </rPr>
      <t>-1</t>
    </r>
    <r>
      <rPr>
        <sz val="10"/>
        <rFont val="Arial"/>
        <family val="2"/>
      </rPr>
      <t xml:space="preserve"> year</t>
    </r>
    <r>
      <rPr>
        <vertAlign val="superscript"/>
        <sz val="10"/>
        <rFont val="Arial"/>
        <family val="2"/>
      </rPr>
      <t>-1</t>
    </r>
  </si>
  <si>
    <r>
      <t>ton km / MJ</t>
    </r>
    <r>
      <rPr>
        <vertAlign val="subscript"/>
        <sz val="10"/>
        <rFont val="Arial"/>
        <family val="2"/>
      </rPr>
      <t>FAME</t>
    </r>
  </si>
  <si>
    <r>
      <t>MJ</t>
    </r>
    <r>
      <rPr>
        <vertAlign val="subscript"/>
        <sz val="10"/>
        <rFont val="Arial"/>
        <family val="2"/>
      </rPr>
      <t>Ethanol</t>
    </r>
    <r>
      <rPr>
        <sz val="10"/>
        <rFont val="Arial"/>
        <family val="0"/>
      </rPr>
      <t xml:space="preserve"> / MJ</t>
    </r>
    <r>
      <rPr>
        <vertAlign val="subscript"/>
        <sz val="10"/>
        <rFont val="Arial"/>
        <family val="2"/>
      </rPr>
      <t>Wheat, input</t>
    </r>
  </si>
  <si>
    <r>
      <t>MJ</t>
    </r>
    <r>
      <rPr>
        <vertAlign val="subscript"/>
        <sz val="10"/>
        <rFont val="Arial"/>
        <family val="2"/>
      </rPr>
      <t>FAME</t>
    </r>
    <r>
      <rPr>
        <sz val="10"/>
        <rFont val="Arial"/>
        <family val="0"/>
      </rPr>
      <t xml:space="preserve"> / MJ</t>
    </r>
    <r>
      <rPr>
        <vertAlign val="subscript"/>
        <sz val="10"/>
        <rFont val="Arial"/>
        <family val="2"/>
      </rPr>
      <t>Rapeseed, input</t>
    </r>
  </si>
  <si>
    <t>Rapeseed cake</t>
  </si>
  <si>
    <t>Energy content (based on 1 MJ)</t>
  </si>
  <si>
    <t>to Rapeseed oil</t>
  </si>
  <si>
    <t>to Rapeseed cake</t>
  </si>
  <si>
    <t>to FAME</t>
  </si>
  <si>
    <t>Energy content (0,1056 ton)</t>
  </si>
  <si>
    <t>to Glycerol</t>
  </si>
  <si>
    <t>Energy content by-product</t>
  </si>
  <si>
    <r>
      <t>MJ</t>
    </r>
    <r>
      <rPr>
        <vertAlign val="subscript"/>
        <sz val="10"/>
        <rFont val="Arial"/>
        <family val="2"/>
      </rPr>
      <t>Rapeseed cake</t>
    </r>
    <r>
      <rPr>
        <sz val="10"/>
        <rFont val="Arial"/>
        <family val="0"/>
      </rPr>
      <t xml:space="preserve"> / MJ</t>
    </r>
    <r>
      <rPr>
        <vertAlign val="subscript"/>
        <sz val="10"/>
        <rFont val="Arial"/>
        <family val="2"/>
      </rPr>
      <t>Rapeseed</t>
    </r>
  </si>
  <si>
    <r>
      <t>E</t>
    </r>
    <r>
      <rPr>
        <sz val="10"/>
        <rFont val="Arial"/>
        <family val="2"/>
      </rPr>
      <t>missions up to and including this process step:</t>
    </r>
  </si>
  <si>
    <t>Hydrogenation of vegetable oil</t>
  </si>
  <si>
    <t>HVO</t>
  </si>
  <si>
    <r>
      <t>MJ</t>
    </r>
    <r>
      <rPr>
        <vertAlign val="subscript"/>
        <sz val="10"/>
        <rFont val="Arial"/>
        <family val="2"/>
      </rPr>
      <t>Oil</t>
    </r>
    <r>
      <rPr>
        <sz val="10"/>
        <rFont val="Arial"/>
        <family val="0"/>
      </rPr>
      <t xml:space="preserve"> / MJ</t>
    </r>
    <r>
      <rPr>
        <vertAlign val="subscript"/>
        <sz val="10"/>
        <rFont val="Arial"/>
        <family val="2"/>
      </rPr>
      <t>HVO</t>
    </r>
  </si>
  <si>
    <r>
      <t>MJ</t>
    </r>
    <r>
      <rPr>
        <vertAlign val="subscript"/>
        <sz val="10"/>
        <rFont val="Arial"/>
        <family val="2"/>
      </rPr>
      <t>HVO</t>
    </r>
    <r>
      <rPr>
        <sz val="10"/>
        <rFont val="Arial"/>
        <family val="0"/>
      </rPr>
      <t xml:space="preserve"> / MJ</t>
    </r>
    <r>
      <rPr>
        <vertAlign val="subscript"/>
        <sz val="10"/>
        <rFont val="Arial"/>
        <family val="2"/>
      </rPr>
      <t>HVO</t>
    </r>
  </si>
  <si>
    <r>
      <t>MJ</t>
    </r>
    <r>
      <rPr>
        <sz val="10"/>
        <rFont val="Arial"/>
        <family val="0"/>
      </rPr>
      <t xml:space="preserve"> / MJ</t>
    </r>
    <r>
      <rPr>
        <vertAlign val="subscript"/>
        <sz val="10"/>
        <rFont val="Arial"/>
        <family val="2"/>
      </rPr>
      <t>HVO</t>
    </r>
  </si>
  <si>
    <r>
      <t>MJ</t>
    </r>
    <r>
      <rPr>
        <vertAlign val="subscript"/>
        <sz val="10"/>
        <rFont val="Arial"/>
        <family val="2"/>
      </rPr>
      <t>HVO</t>
    </r>
    <r>
      <rPr>
        <sz val="10"/>
        <rFont val="Arial"/>
        <family val="2"/>
      </rPr>
      <t xml:space="preserve"> ha</t>
    </r>
    <r>
      <rPr>
        <vertAlign val="superscript"/>
        <sz val="10"/>
        <rFont val="Arial"/>
        <family val="2"/>
      </rPr>
      <t>-1</t>
    </r>
    <r>
      <rPr>
        <sz val="10"/>
        <rFont val="Arial"/>
        <family val="2"/>
      </rPr>
      <t xml:space="preserve"> year</t>
    </r>
    <r>
      <rPr>
        <vertAlign val="superscript"/>
        <sz val="10"/>
        <rFont val="Arial"/>
        <family val="2"/>
      </rPr>
      <t>-1</t>
    </r>
  </si>
  <si>
    <r>
      <t>ton km / MJ</t>
    </r>
    <r>
      <rPr>
        <vertAlign val="subscript"/>
        <sz val="10"/>
        <rFont val="Arial"/>
        <family val="2"/>
      </rPr>
      <t>HVO</t>
    </r>
  </si>
  <si>
    <r>
      <t>g CO</t>
    </r>
    <r>
      <rPr>
        <vertAlign val="subscript"/>
        <sz val="10"/>
        <rFont val="Arial"/>
        <family val="2"/>
      </rPr>
      <t>2,eq</t>
    </r>
    <r>
      <rPr>
        <sz val="10"/>
        <rFont val="Arial"/>
        <family val="2"/>
      </rPr>
      <t xml:space="preserve"> / MJ</t>
    </r>
    <r>
      <rPr>
        <vertAlign val="subscript"/>
        <sz val="10"/>
        <rFont val="Arial"/>
        <family val="2"/>
      </rPr>
      <t>FAME</t>
    </r>
  </si>
  <si>
    <r>
      <t>g CO</t>
    </r>
    <r>
      <rPr>
        <vertAlign val="subscript"/>
        <sz val="10"/>
        <rFont val="Arial"/>
        <family val="2"/>
      </rPr>
      <t>2,eq</t>
    </r>
    <r>
      <rPr>
        <sz val="10"/>
        <rFont val="Arial"/>
        <family val="2"/>
      </rPr>
      <t xml:space="preserve"> / MJ</t>
    </r>
    <r>
      <rPr>
        <vertAlign val="subscript"/>
        <sz val="10"/>
        <rFont val="Arial"/>
        <family val="2"/>
      </rPr>
      <t>HVO</t>
    </r>
  </si>
  <si>
    <t>Emissions per MJ HVO</t>
  </si>
  <si>
    <r>
      <t>g CO</t>
    </r>
    <r>
      <rPr>
        <b/>
        <vertAlign val="subscript"/>
        <sz val="10"/>
        <color indexed="9"/>
        <rFont val="Arial"/>
        <family val="2"/>
      </rPr>
      <t>2,eq</t>
    </r>
    <r>
      <rPr>
        <b/>
        <sz val="10"/>
        <color indexed="9"/>
        <rFont val="Arial"/>
        <family val="2"/>
      </rPr>
      <t xml:space="preserve"> / MJ</t>
    </r>
    <r>
      <rPr>
        <b/>
        <vertAlign val="subscript"/>
        <sz val="10"/>
        <color indexed="9"/>
        <rFont val="Arial"/>
        <family val="2"/>
      </rPr>
      <t>HVO</t>
    </r>
  </si>
  <si>
    <r>
      <t>MJ</t>
    </r>
    <r>
      <rPr>
        <vertAlign val="subscript"/>
        <sz val="10"/>
        <rFont val="Arial"/>
        <family val="2"/>
      </rPr>
      <t>HVO</t>
    </r>
    <r>
      <rPr>
        <sz val="10"/>
        <rFont val="Arial"/>
        <family val="0"/>
      </rPr>
      <t xml:space="preserve"> / MJ</t>
    </r>
    <r>
      <rPr>
        <vertAlign val="subscript"/>
        <sz val="10"/>
        <rFont val="Arial"/>
        <family val="2"/>
      </rPr>
      <t>Rapeseed, input</t>
    </r>
  </si>
  <si>
    <t>HVO (BTL like fuel)</t>
  </si>
  <si>
    <t>Transport of HVO</t>
  </si>
  <si>
    <t>Hydrotreated vegetable oil</t>
  </si>
  <si>
    <t>Fatty Acid Methyl Esters</t>
  </si>
  <si>
    <t>Steam (NG CHP)</t>
  </si>
  <si>
    <t>Steam (Lignite CHP)</t>
  </si>
  <si>
    <t>Steam (Straw CHP)</t>
  </si>
  <si>
    <t>Example 1 (diesel from standard values)</t>
  </si>
  <si>
    <t>Example 2 (methanol from standard values)</t>
  </si>
  <si>
    <t>PVO</t>
  </si>
  <si>
    <t>Pure Vegetable Oil</t>
  </si>
  <si>
    <t>Abbreviations and definitions</t>
  </si>
  <si>
    <t>Allocated</t>
  </si>
  <si>
    <t>results</t>
  </si>
  <si>
    <t xml:space="preserve">Non- allocated </t>
  </si>
  <si>
    <t>All results in</t>
  </si>
  <si>
    <r>
      <t>g CO</t>
    </r>
    <r>
      <rPr>
        <b/>
        <i/>
        <vertAlign val="subscript"/>
        <sz val="10"/>
        <color indexed="9"/>
        <rFont val="Arial"/>
        <family val="2"/>
      </rPr>
      <t>2,eq</t>
    </r>
    <r>
      <rPr>
        <b/>
        <i/>
        <sz val="10"/>
        <color indexed="9"/>
        <rFont val="Arial"/>
        <family val="2"/>
      </rPr>
      <t xml:space="preserve"> / MJ</t>
    </r>
    <r>
      <rPr>
        <b/>
        <i/>
        <vertAlign val="subscript"/>
        <sz val="10"/>
        <color indexed="9"/>
        <rFont val="Arial"/>
        <family val="2"/>
      </rPr>
      <t>FAME</t>
    </r>
  </si>
  <si>
    <r>
      <t>g CO</t>
    </r>
    <r>
      <rPr>
        <b/>
        <i/>
        <vertAlign val="subscript"/>
        <sz val="10"/>
        <color indexed="9"/>
        <rFont val="Arial"/>
        <family val="2"/>
      </rPr>
      <t>2,eq</t>
    </r>
    <r>
      <rPr>
        <b/>
        <i/>
        <sz val="10"/>
        <color indexed="9"/>
        <rFont val="Arial"/>
        <family val="2"/>
      </rPr>
      <t xml:space="preserve"> / MJ</t>
    </r>
    <r>
      <rPr>
        <b/>
        <i/>
        <vertAlign val="subscript"/>
        <sz val="10"/>
        <color indexed="9"/>
        <rFont val="Arial"/>
        <family val="2"/>
      </rPr>
      <t>Ethanol</t>
    </r>
  </si>
  <si>
    <r>
      <t>g CO</t>
    </r>
    <r>
      <rPr>
        <b/>
        <i/>
        <vertAlign val="subscript"/>
        <sz val="10"/>
        <color indexed="9"/>
        <rFont val="Arial"/>
        <family val="2"/>
      </rPr>
      <t>2,eq</t>
    </r>
    <r>
      <rPr>
        <b/>
        <i/>
        <sz val="10"/>
        <color indexed="9"/>
        <rFont val="Arial"/>
        <family val="2"/>
      </rPr>
      <t xml:space="preserve"> / MJ</t>
    </r>
    <r>
      <rPr>
        <b/>
        <i/>
        <vertAlign val="subscript"/>
        <sz val="10"/>
        <color indexed="9"/>
        <rFont val="Arial"/>
        <family val="2"/>
      </rPr>
      <t>HVO</t>
    </r>
  </si>
  <si>
    <t>About</t>
  </si>
  <si>
    <t>RED Annex V.D</t>
  </si>
  <si>
    <r>
      <t xml:space="preserve"> 1. </t>
    </r>
    <r>
      <rPr>
        <b/>
        <sz val="10"/>
        <rFont val="Arial"/>
        <family val="2"/>
      </rPr>
      <t>List of input data</t>
    </r>
    <r>
      <rPr>
        <sz val="10"/>
        <rFont val="Arial"/>
        <family val="0"/>
      </rPr>
      <t xml:space="preserve"> provided by the JEC consortium (JRC, EUCAR and CONCAWE) following consultation with stakeholders</t>
    </r>
  </si>
  <si>
    <t>Inconsistent use of Global Warming Potentials (GWPs)</t>
  </si>
  <si>
    <t>Default values</t>
  </si>
  <si>
    <r>
      <t>Land use change, improved agriculture management, CO</t>
    </r>
    <r>
      <rPr>
        <b/>
        <vertAlign val="subscript"/>
        <sz val="10"/>
        <rFont val="Arial"/>
        <family val="2"/>
      </rPr>
      <t>2</t>
    </r>
    <r>
      <rPr>
        <b/>
        <sz val="10"/>
        <rFont val="Arial"/>
        <family val="2"/>
      </rPr>
      <t xml:space="preserve"> capture and geological storage, field N</t>
    </r>
    <r>
      <rPr>
        <b/>
        <vertAlign val="subscript"/>
        <sz val="10"/>
        <rFont val="Arial"/>
        <family val="2"/>
      </rPr>
      <t>2</t>
    </r>
    <r>
      <rPr>
        <b/>
        <sz val="10"/>
        <rFont val="Arial"/>
        <family val="2"/>
      </rPr>
      <t>O emissions</t>
    </r>
  </si>
  <si>
    <r>
      <t>Nor does this version help you to calculate field N</t>
    </r>
    <r>
      <rPr>
        <vertAlign val="subscript"/>
        <sz val="10"/>
        <rFont val="Arial"/>
        <family val="2"/>
      </rPr>
      <t>2</t>
    </r>
    <r>
      <rPr>
        <sz val="10"/>
        <rFont val="Arial"/>
        <family val="0"/>
      </rPr>
      <t>O emissions in the cultivation part of the biofuel production chains. Future versions of this Excel file probably will contain such guidance and help.</t>
    </r>
  </si>
  <si>
    <r>
      <t>MJ / MJ</t>
    </r>
    <r>
      <rPr>
        <vertAlign val="subscript"/>
        <sz val="10"/>
        <rFont val="Arial"/>
        <family val="0"/>
      </rPr>
      <t>Sugarbeet, input</t>
    </r>
  </si>
  <si>
    <t>Cultivation of sugarbeet</t>
  </si>
  <si>
    <t>Transport of sugarbeet</t>
  </si>
  <si>
    <r>
      <t>MJ</t>
    </r>
    <r>
      <rPr>
        <vertAlign val="subscript"/>
        <sz val="10"/>
        <rFont val="Arial"/>
        <family val="2"/>
      </rPr>
      <t>Sugarbeet</t>
    </r>
    <r>
      <rPr>
        <sz val="10"/>
        <rFont val="Arial"/>
        <family val="0"/>
      </rPr>
      <t xml:space="preserve"> / MJ</t>
    </r>
    <r>
      <rPr>
        <vertAlign val="subscript"/>
        <sz val="10"/>
        <rFont val="Arial"/>
        <family val="2"/>
      </rPr>
      <t>Sugarbeet</t>
    </r>
  </si>
  <si>
    <r>
      <t>MJ</t>
    </r>
    <r>
      <rPr>
        <vertAlign val="subscript"/>
        <sz val="10"/>
        <rFont val="Arial"/>
        <family val="2"/>
      </rPr>
      <t>Ethanol</t>
    </r>
    <r>
      <rPr>
        <sz val="10"/>
        <rFont val="Arial"/>
        <family val="0"/>
      </rPr>
      <t xml:space="preserve"> / MJ</t>
    </r>
    <r>
      <rPr>
        <vertAlign val="subscript"/>
        <sz val="10"/>
        <rFont val="Arial"/>
        <family val="2"/>
      </rPr>
      <t>Sugarbeet</t>
    </r>
  </si>
  <si>
    <t>By-product Sugar beet pulp</t>
  </si>
  <si>
    <t>Energy content</t>
  </si>
  <si>
    <r>
      <t>MJ</t>
    </r>
    <r>
      <rPr>
        <vertAlign val="subscript"/>
        <sz val="10"/>
        <rFont val="Arial"/>
        <family val="2"/>
      </rPr>
      <t>Sugar beet pulp</t>
    </r>
    <r>
      <rPr>
        <sz val="10"/>
        <rFont val="Arial"/>
        <family val="0"/>
      </rPr>
      <t xml:space="preserve"> / MJ</t>
    </r>
    <r>
      <rPr>
        <vertAlign val="subscript"/>
        <sz val="10"/>
        <rFont val="Arial"/>
        <family val="2"/>
      </rPr>
      <t>Sugar beet</t>
    </r>
  </si>
  <si>
    <t>per kg sugarbeet</t>
  </si>
  <si>
    <r>
      <t>MJ</t>
    </r>
    <r>
      <rPr>
        <vertAlign val="subscript"/>
        <sz val="10"/>
        <rFont val="Arial"/>
        <family val="2"/>
      </rPr>
      <t>Sugar beet</t>
    </r>
    <r>
      <rPr>
        <sz val="10"/>
        <rFont val="Arial"/>
        <family val="0"/>
      </rPr>
      <t xml:space="preserve"> ha</t>
    </r>
    <r>
      <rPr>
        <vertAlign val="superscript"/>
        <sz val="10"/>
        <rFont val="Arial"/>
        <family val="2"/>
      </rPr>
      <t>-1</t>
    </r>
    <r>
      <rPr>
        <sz val="10"/>
        <rFont val="Arial"/>
        <family val="0"/>
      </rPr>
      <t xml:space="preserve"> year</t>
    </r>
    <r>
      <rPr>
        <vertAlign val="superscript"/>
        <sz val="10"/>
        <rFont val="Arial"/>
        <family val="2"/>
      </rPr>
      <t>-1</t>
    </r>
  </si>
  <si>
    <r>
      <t>kg</t>
    </r>
    <r>
      <rPr>
        <vertAlign val="subscript"/>
        <sz val="10"/>
        <rFont val="Arial"/>
        <family val="0"/>
      </rPr>
      <t>Sugarbeet</t>
    </r>
    <r>
      <rPr>
        <sz val="10"/>
        <rFont val="Arial"/>
        <family val="2"/>
      </rPr>
      <t>/MJ</t>
    </r>
    <r>
      <rPr>
        <vertAlign val="subscript"/>
        <sz val="10"/>
        <rFont val="Arial"/>
        <family val="2"/>
      </rPr>
      <t>ethanol</t>
    </r>
  </si>
  <si>
    <r>
      <t>ton km / MJ</t>
    </r>
    <r>
      <rPr>
        <vertAlign val="subscript"/>
        <sz val="10"/>
        <rFont val="Arial"/>
        <family val="2"/>
      </rPr>
      <t>Sugarbeet</t>
    </r>
  </si>
  <si>
    <t>Energy content (per MJ sugarbeet)</t>
  </si>
  <si>
    <r>
      <t>MJ</t>
    </r>
    <r>
      <rPr>
        <vertAlign val="subscript"/>
        <sz val="10"/>
        <rFont val="Arial"/>
        <family val="2"/>
      </rPr>
      <t>Ethanol</t>
    </r>
    <r>
      <rPr>
        <sz val="10"/>
        <rFont val="Arial"/>
        <family val="0"/>
      </rPr>
      <t xml:space="preserve"> / MJ</t>
    </r>
    <r>
      <rPr>
        <vertAlign val="subscript"/>
        <sz val="10"/>
        <rFont val="Arial"/>
        <family val="2"/>
      </rPr>
      <t>Sugarbeet, input</t>
    </r>
  </si>
  <si>
    <t>to Sugar beet pulp</t>
  </si>
  <si>
    <r>
      <t>CO</t>
    </r>
    <r>
      <rPr>
        <vertAlign val="subscript"/>
        <sz val="10"/>
        <rFont val="Arial"/>
        <family val="2"/>
      </rPr>
      <t>2,eq</t>
    </r>
  </si>
  <si>
    <r>
      <t>g CO</t>
    </r>
    <r>
      <rPr>
        <b/>
        <vertAlign val="subscript"/>
        <sz val="10"/>
        <color indexed="9"/>
        <rFont val="Arial"/>
        <family val="0"/>
      </rPr>
      <t>2,eq</t>
    </r>
    <r>
      <rPr>
        <b/>
        <sz val="10"/>
        <color indexed="9"/>
        <rFont val="Arial"/>
        <family val="0"/>
      </rPr>
      <t xml:space="preserve"> / MJ</t>
    </r>
    <r>
      <rPr>
        <b/>
        <vertAlign val="subscript"/>
        <sz val="10"/>
        <color indexed="9"/>
        <rFont val="Arial"/>
        <family val="0"/>
      </rPr>
      <t>Ethanol</t>
    </r>
  </si>
  <si>
    <r>
      <t>gCO</t>
    </r>
    <r>
      <rPr>
        <vertAlign val="subscript"/>
        <sz val="10"/>
        <color indexed="22"/>
        <rFont val="Verdana"/>
        <family val="2"/>
      </rPr>
      <t>2</t>
    </r>
    <r>
      <rPr>
        <sz val="10"/>
        <color indexed="22"/>
        <rFont val="Verdana"/>
        <family val="2"/>
      </rPr>
      <t>/kg</t>
    </r>
  </si>
  <si>
    <r>
      <t>gCH</t>
    </r>
    <r>
      <rPr>
        <vertAlign val="subscript"/>
        <sz val="10"/>
        <color indexed="22"/>
        <rFont val="Verdana"/>
        <family val="2"/>
      </rPr>
      <t>4</t>
    </r>
    <r>
      <rPr>
        <sz val="10"/>
        <color indexed="22"/>
        <rFont val="Verdana"/>
        <family val="2"/>
      </rPr>
      <t>/kg</t>
    </r>
  </si>
  <si>
    <r>
      <t>gN</t>
    </r>
    <r>
      <rPr>
        <vertAlign val="subscript"/>
        <sz val="10"/>
        <color indexed="22"/>
        <rFont val="Verdana"/>
        <family val="2"/>
      </rPr>
      <t>2</t>
    </r>
    <r>
      <rPr>
        <sz val="10"/>
        <color indexed="22"/>
        <rFont val="Verdana"/>
        <family val="2"/>
      </rPr>
      <t>O/kg</t>
    </r>
  </si>
  <si>
    <r>
      <t>gCO</t>
    </r>
    <r>
      <rPr>
        <vertAlign val="subscript"/>
        <sz val="10"/>
        <color indexed="22"/>
        <rFont val="Verdana"/>
        <family val="2"/>
      </rPr>
      <t>2-eq</t>
    </r>
    <r>
      <rPr>
        <sz val="10"/>
        <color indexed="22"/>
        <rFont val="Verdana"/>
        <family val="2"/>
      </rPr>
      <t>/kg</t>
    </r>
  </si>
  <si>
    <r>
      <t>gCO</t>
    </r>
    <r>
      <rPr>
        <vertAlign val="subscript"/>
        <sz val="10"/>
        <color indexed="22"/>
        <rFont val="Verdana"/>
        <family val="2"/>
      </rPr>
      <t>2</t>
    </r>
    <r>
      <rPr>
        <sz val="10"/>
        <color indexed="22"/>
        <rFont val="Verdana"/>
        <family val="2"/>
      </rPr>
      <t>/MJ</t>
    </r>
  </si>
  <si>
    <r>
      <t>gCH</t>
    </r>
    <r>
      <rPr>
        <vertAlign val="subscript"/>
        <sz val="10"/>
        <color indexed="22"/>
        <rFont val="Verdana"/>
        <family val="2"/>
      </rPr>
      <t>4</t>
    </r>
    <r>
      <rPr>
        <sz val="10"/>
        <color indexed="22"/>
        <rFont val="Verdana"/>
        <family val="2"/>
      </rPr>
      <t>/MJ</t>
    </r>
  </si>
  <si>
    <r>
      <t>gN</t>
    </r>
    <r>
      <rPr>
        <vertAlign val="subscript"/>
        <sz val="10"/>
        <color indexed="22"/>
        <rFont val="Verdana"/>
        <family val="2"/>
      </rPr>
      <t>2</t>
    </r>
    <r>
      <rPr>
        <sz val="10"/>
        <color indexed="22"/>
        <rFont val="Verdana"/>
        <family val="2"/>
      </rPr>
      <t>O/MJ</t>
    </r>
  </si>
  <si>
    <r>
      <t>gCO</t>
    </r>
    <r>
      <rPr>
        <vertAlign val="subscript"/>
        <sz val="10"/>
        <color indexed="22"/>
        <rFont val="Verdana"/>
        <family val="2"/>
      </rPr>
      <t>2-eq</t>
    </r>
    <r>
      <rPr>
        <sz val="10"/>
        <color indexed="22"/>
        <rFont val="Verdana"/>
        <family val="2"/>
      </rPr>
      <t>/MJ</t>
    </r>
  </si>
  <si>
    <r>
      <t>MJ</t>
    </r>
    <r>
      <rPr>
        <vertAlign val="subscript"/>
        <sz val="10"/>
        <color indexed="22"/>
        <rFont val="Verdana"/>
        <family val="2"/>
      </rPr>
      <t>fossil</t>
    </r>
    <r>
      <rPr>
        <sz val="10"/>
        <color indexed="22"/>
        <rFont val="Verdana"/>
        <family val="2"/>
      </rPr>
      <t>/kg</t>
    </r>
  </si>
  <si>
    <r>
      <t>MJ</t>
    </r>
    <r>
      <rPr>
        <vertAlign val="subscript"/>
        <sz val="10"/>
        <color indexed="22"/>
        <rFont val="Verdana"/>
        <family val="2"/>
      </rPr>
      <t>fossil</t>
    </r>
    <r>
      <rPr>
        <sz val="10"/>
        <color indexed="22"/>
        <rFont val="Verdana"/>
        <family val="2"/>
      </rPr>
      <t>/MJ</t>
    </r>
  </si>
  <si>
    <r>
      <t>gCH</t>
    </r>
    <r>
      <rPr>
        <vertAlign val="subscript"/>
        <sz val="10"/>
        <color indexed="22"/>
        <rFont val="Verdana"/>
        <family val="2"/>
      </rPr>
      <t>4</t>
    </r>
    <r>
      <rPr>
        <sz val="10"/>
        <color indexed="22"/>
        <rFont val="Verdana"/>
        <family val="2"/>
      </rPr>
      <t>/t.km</t>
    </r>
  </si>
  <si>
    <r>
      <t>gN</t>
    </r>
    <r>
      <rPr>
        <vertAlign val="subscript"/>
        <sz val="10"/>
        <color indexed="22"/>
        <rFont val="Verdana"/>
        <family val="2"/>
      </rPr>
      <t>2</t>
    </r>
    <r>
      <rPr>
        <sz val="10"/>
        <color indexed="22"/>
        <rFont val="Verdana"/>
        <family val="2"/>
      </rPr>
      <t>O/t.km</t>
    </r>
  </si>
  <si>
    <r>
      <t>GHG emissions caused by CO</t>
    </r>
    <r>
      <rPr>
        <vertAlign val="subscript"/>
        <sz val="10"/>
        <rFont val="Arial"/>
        <family val="2"/>
      </rPr>
      <t>2</t>
    </r>
    <r>
      <rPr>
        <sz val="10"/>
        <rFont val="Arial"/>
        <family val="0"/>
      </rPr>
      <t>, CH</t>
    </r>
    <r>
      <rPr>
        <vertAlign val="subscript"/>
        <sz val="10"/>
        <rFont val="Arial"/>
        <family val="2"/>
      </rPr>
      <t>4</t>
    </r>
    <r>
      <rPr>
        <sz val="10"/>
        <rFont val="Arial"/>
        <family val="0"/>
      </rPr>
      <t>, and N</t>
    </r>
    <r>
      <rPr>
        <vertAlign val="subscript"/>
        <sz val="10"/>
        <rFont val="Arial"/>
        <family val="2"/>
      </rPr>
      <t>2</t>
    </r>
    <r>
      <rPr>
        <sz val="10"/>
        <rFont val="Arial"/>
        <family val="0"/>
      </rPr>
      <t>O, expressed as CO</t>
    </r>
    <r>
      <rPr>
        <vertAlign val="subscript"/>
        <sz val="10"/>
        <rFont val="Arial"/>
        <family val="2"/>
      </rPr>
      <t>2</t>
    </r>
    <r>
      <rPr>
        <sz val="10"/>
        <rFont val="Arial"/>
        <family val="0"/>
      </rPr>
      <t>-equivalent emissions using the global warming potentials of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as listed in the sheet "Standard Values".</t>
    </r>
  </si>
  <si>
    <t>User defined standard values can be used instead of the values listed in the sheet "Standard values". This can be done as follows. Give a name and give values for the desired user-defined standard values in the sheet "User defined standard values". Make sure not to use the same name as used in the sheet "Standard values". Then, this parameter can be used in the calculations.</t>
  </si>
  <si>
    <t>The results of the calculations are expressed as "default values". This means that for reproducing the RED Annex V default values, the input data for emissions of the processing steps (as were taken from the first data source as mentioned below) have been multiplied by 1.4.</t>
  </si>
  <si>
    <t>A file with input data that has been prepared by the JRC consortium and is available on the JEC website at</t>
  </si>
  <si>
    <t>We used version 2c of March 2007 (file WTW_App_1_010307.pdf). Soon, a new version 3 of the WTT Appendix 1 is expected to become public.</t>
  </si>
  <si>
    <t>Again, LBST has provided us with the numbers that were actually used which for a number of standard values are slightly different as compared to those listed in version 2c of the WTT Appendix 1.</t>
  </si>
  <si>
    <r>
      <t>Some numbers causing only small GHG emissions have not been published by the JEC consortium. As this Excel file is intended to make the calculation of the RED defaults fully transparent, these numbers are included in this file. Two examples are the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emissions of the boilers and gas turbine that produce steam, and the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tailpipe emissions of truck and ship transport.</t>
    </r>
  </si>
  <si>
    <r>
      <t>During our project, we found an inconsistency between the way the biofuel GHG default values (as listed in Annex V.A, V.B and V.D of the RED) have been calculated, and the methodology as listed in Annex V.C of the RED. The input provided by the JEC consortium to the Commission (from which the Commission calculated its default values) used Global Warming Potentials (GWP's) of 25 for CH</t>
    </r>
    <r>
      <rPr>
        <vertAlign val="subscript"/>
        <sz val="10"/>
        <rFont val="Arial"/>
        <family val="2"/>
      </rPr>
      <t>4</t>
    </r>
    <r>
      <rPr>
        <sz val="10"/>
        <rFont val="Arial"/>
        <family val="0"/>
      </rPr>
      <t xml:space="preserve"> and 298 for N</t>
    </r>
    <r>
      <rPr>
        <vertAlign val="subscript"/>
        <sz val="10"/>
        <rFont val="Arial"/>
        <family val="2"/>
      </rPr>
      <t>2</t>
    </r>
    <r>
      <rPr>
        <sz val="10"/>
        <rFont val="Arial"/>
        <family val="0"/>
      </rPr>
      <t>O, whereas the Annex V.C of the RED prescribes, in Article 5, that GWP's of 23 for CH</t>
    </r>
    <r>
      <rPr>
        <vertAlign val="subscript"/>
        <sz val="10"/>
        <rFont val="Arial"/>
        <family val="2"/>
      </rPr>
      <t>4</t>
    </r>
    <r>
      <rPr>
        <sz val="10"/>
        <rFont val="Arial"/>
        <family val="0"/>
      </rPr>
      <t xml:space="preserve"> and 296 for N</t>
    </r>
    <r>
      <rPr>
        <vertAlign val="subscript"/>
        <sz val="10"/>
        <rFont val="Arial"/>
        <family val="2"/>
      </rPr>
      <t>2</t>
    </r>
    <r>
      <rPr>
        <sz val="10"/>
        <rFont val="Arial"/>
        <family val="0"/>
      </rPr>
      <t xml:space="preserve">O should be used. </t>
    </r>
  </si>
  <si>
    <t>The value shown here is 0 for option a above and 1 for option b above.</t>
  </si>
  <si>
    <t>Fuel</t>
  </si>
  <si>
    <t>efficiency</t>
  </si>
  <si>
    <t>Global Warming Potentials (GWP's)</t>
  </si>
  <si>
    <t>Syn diesel (BtL)</t>
  </si>
  <si>
    <t>-</t>
  </si>
  <si>
    <t>No LHV given in the E3 database. Allocation to soy bean meal should be performed in same way as done by JEC consortium</t>
  </si>
  <si>
    <t>No emission factors and LHV given in E3 database. Emissions assumed to be zero.</t>
  </si>
  <si>
    <t>Electricity production (reference for credit calculation)</t>
  </si>
  <si>
    <t>Version 1 - Public</t>
  </si>
  <si>
    <t>RED Annex V.C.5</t>
  </si>
  <si>
    <t>Or JEC E3-database (version 31-7-2008), depending on choice, see "Inconsistent use of Global Warming Potentials (GWPs)" in "About"</t>
  </si>
  <si>
    <t>Emission reduction</t>
  </si>
  <si>
    <t>Fossil fuel reference (petrol)</t>
  </si>
  <si>
    <t>GHG emission reduction</t>
  </si>
  <si>
    <r>
      <t xml:space="preserve"> g CO</t>
    </r>
    <r>
      <rPr>
        <vertAlign val="subscript"/>
        <sz val="10"/>
        <rFont val="Arial"/>
        <family val="2"/>
      </rPr>
      <t>2,eq</t>
    </r>
    <r>
      <rPr>
        <sz val="10"/>
        <rFont val="Arial"/>
        <family val="0"/>
      </rPr>
      <t>/MJ</t>
    </r>
  </si>
  <si>
    <t>Fossil fuel reference (diesel)</t>
  </si>
  <si>
    <t>FAME from rape seed</t>
  </si>
  <si>
    <t>FAME from palm oil</t>
  </si>
  <si>
    <t>FAME from palm oil (methane capture)</t>
  </si>
  <si>
    <t>FAME from soy</t>
  </si>
  <si>
    <t>FAME from sunflower</t>
  </si>
  <si>
    <t>FAME from used cooking oil</t>
  </si>
  <si>
    <t xml:space="preserve">Ethanol from wheat (lignite CHP)  </t>
  </si>
  <si>
    <t>Ethanol from wheat (natural gas steam boiler)</t>
  </si>
  <si>
    <t>Ethanol from wheat (natural gas CHP)</t>
  </si>
  <si>
    <t>Ethanol from wheat (straw CHP)</t>
  </si>
  <si>
    <t>Ethanol from corn</t>
  </si>
  <si>
    <t>Ethanol from sugar beet</t>
  </si>
  <si>
    <t xml:space="preserve">PVO from rape seed  </t>
  </si>
  <si>
    <t>HVO from rape seed</t>
  </si>
  <si>
    <t>HVO from palm oil</t>
  </si>
  <si>
    <t>HVO from palm oil (methane capture)</t>
  </si>
  <si>
    <t xml:space="preserve">HVO from sunflower  </t>
  </si>
  <si>
    <t>Biogas from dry manure</t>
  </si>
  <si>
    <t xml:space="preserve">Biogas from wet manure  </t>
  </si>
  <si>
    <t>Biogas from MSW</t>
  </si>
  <si>
    <t>CHP</t>
  </si>
  <si>
    <t>Combined Heat and Power</t>
  </si>
  <si>
    <t>Dried Distillers Grains with Solubles</t>
  </si>
  <si>
    <t>Fresh Fruit Bunches</t>
  </si>
  <si>
    <t>NG</t>
  </si>
  <si>
    <t>Natural Gas</t>
  </si>
  <si>
    <t>ST</t>
  </si>
  <si>
    <t>Steam Turbine</t>
  </si>
  <si>
    <t>Example: put the name "N-fertiliser (type XYZ)" in row C of the sheet "user defined standard values", and put values in column D, E and F. Then you can replace the parameter "N-fertiliser" with "N-fertiliser (type XYZ)" in the sheets showing the calculations.</t>
  </si>
  <si>
    <t>A user guide including instructions on how modified or new biofuel production chains can be made might be published later - this is still to be decided.</t>
  </si>
  <si>
    <r>
      <t>kg/m</t>
    </r>
    <r>
      <rPr>
        <vertAlign val="superscript"/>
        <sz val="10"/>
        <color indexed="22"/>
        <rFont val="Verdana"/>
        <family val="2"/>
      </rPr>
      <t>3</t>
    </r>
  </si>
  <si>
    <t>Transport exhaust</t>
  </si>
  <si>
    <t>gas emissions</t>
  </si>
  <si>
    <t>Calculated values (composed of values above)</t>
  </si>
  <si>
    <t>1,1111 times "Natural gas (4000 km, EU Mix qualilty)" and 0,02 times "Electricity EU Mix MV"</t>
  </si>
  <si>
    <t>1,4049 times "Natural gas (4000 km, EU Mix qualilty)" and 0,6615 times credit for "Electricity from NG CCGT"</t>
  </si>
  <si>
    <t>1,8664 times "Lignite" and 0,2222 times credit for "electricity from Lignite ST"</t>
  </si>
  <si>
    <t>2,1322 times "Straw" and 0,3612 times credit for "electricity from Straw CHP"</t>
  </si>
  <si>
    <t>Calculations reproduce the GHG emission saving default values of particular biofuel production pathways as stated in the RED Annex V.A. In this Excel file default values calculations are shown for</t>
  </si>
  <si>
    <t xml:space="preserve">Wheat ethanol (natural gas as process fuel in conventional boiler) </t>
  </si>
  <si>
    <t>Sugar beet ethanol</t>
  </si>
  <si>
    <t>Hydrotreated vegetable oil from rape seed</t>
  </si>
  <si>
    <t>Future versions of this Excel file will reproduce all 22 RED Annex V.A default values.</t>
  </si>
  <si>
    <r>
      <t>Values needed to convert input data into GHG emissions. Examples are Lower Heating Values and values to convert 1 kg N-fertiliser or 1 MJ of natural gas into CO</t>
    </r>
    <r>
      <rPr>
        <vertAlign val="subscript"/>
        <sz val="10"/>
        <rFont val="Arial"/>
        <family val="2"/>
      </rPr>
      <t>2</t>
    </r>
    <r>
      <rPr>
        <sz val="10"/>
        <rFont val="Arial"/>
        <family val="0"/>
      </rPr>
      <t>,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emissions.</t>
    </r>
  </si>
  <si>
    <r>
      <t>Input numbers</t>
    </r>
    <r>
      <rPr>
        <sz val="10"/>
        <rFont val="Arial"/>
        <family val="0"/>
      </rPr>
      <t xml:space="preserve"> used are listed in the Excel sheets showing the calculations. These input data can of course be changed to</t>
    </r>
  </si>
  <si>
    <t>make calculations with actual data.</t>
  </si>
  <si>
    <t xml:space="preserve"> 1. The default values as listed in Annex V.D of the RED. These are rounded values. In the sheets of this Excel file they are listed,</t>
  </si>
  <si>
    <t>in column G, as white numbers in bold format.</t>
  </si>
  <si>
    <t>listed in the RED. They were calculated by taking the results that are shown in the list of input data (see data source 1 below) and multiplying by a factor 1.4 for the processing steps. These values were added as to increase the transparency of the JEC calculations; only by showing numbers with two decimals it can be shown that the JEC calculations can be reproduced with high accuracy. Of course, this exercise can also be done with the typical values (so without the factor of 1.4).</t>
  </si>
  <si>
    <t>For some of the input data, LBST has provided us with slightly modified input numbers (so the numbers used in the calculations were slightly different than those listed in the file above). These alternative values have been tracked down, as one of the objectives of this Excel file is to show how the RED Annex V default values were calculated.</t>
  </si>
  <si>
    <t>a. Calculations using the numbers that must be used following the methodology as given in Annex V.C of Directives 2009/28/EC</t>
  </si>
  <si>
    <t>b. Calculations using the data as were delivered by the JEC consortium to the Commission. These calculations exactly reproduce</t>
  </si>
  <si>
    <t>In all Excel calculation sheets, a choice can be made between these two options, by clicking one of the options in the yellow-coloured box at the top right of the sheet. The choice will change the value for the number shown here:</t>
  </si>
  <si>
    <r>
      <t xml:space="preserve"> 3. </t>
    </r>
    <r>
      <rPr>
        <b/>
        <sz val="10"/>
        <rFont val="Arial"/>
        <family val="2"/>
      </rPr>
      <t>The E3database of Ludwig Bölkow System Technik (LBST)</t>
    </r>
  </si>
  <si>
    <t>This Excel file can therefore be used to make two kinds of calculations:</t>
  </si>
  <si>
    <t>In the top section the result of the calculation in this Excel sheet is shown as well as the RED Annex V default values.  Rounded numbers ars shown, causing that sometimes the results do not change when changing from option a to b (or vice versa), whereas in other cases the results start to differ for one or more of the desaggregated values when choosing option a.</t>
  </si>
  <si>
    <t>This file was delivered from the Intelligent Energy Europe (IEE) project BioGrace. More information on BioGrace is available at</t>
  </si>
  <si>
    <t>E-Wt (Ng-b)</t>
  </si>
  <si>
    <t>E-Sb</t>
  </si>
  <si>
    <t>F-Rs</t>
  </si>
  <si>
    <t>H-Rs</t>
  </si>
  <si>
    <t>Rapeseed biodiesel (FAME)</t>
  </si>
  <si>
    <t xml:space="preserve"> 2. As non-rounded numbers, shown in the same column G in black and aligned to the right of column G. These values are not</t>
  </si>
  <si>
    <t>LBST, which is a consultant to the JEC consortium and a subcontractor to the BioGrace project (see below), uses the LCA tool and database E3database to perform their GHG calculations. As part of the BioGrace project, they have tracked down the causes of differences and provided us with correct numbers. These have been added to the input numbers and standard values in this Excel file.</t>
  </si>
  <si>
    <r>
      <t xml:space="preserve"> the Annex V default values. In order to come to these results, the GWP values of 25 for CH</t>
    </r>
    <r>
      <rPr>
        <vertAlign val="subscript"/>
        <sz val="10"/>
        <rFont val="Arial"/>
        <family val="2"/>
      </rPr>
      <t>4</t>
    </r>
    <r>
      <rPr>
        <sz val="10"/>
        <rFont val="Arial"/>
        <family val="0"/>
      </rPr>
      <t xml:space="preserve"> and 298 for N</t>
    </r>
    <r>
      <rPr>
        <vertAlign val="subscript"/>
        <sz val="10"/>
        <rFont val="Arial"/>
        <family val="2"/>
      </rPr>
      <t>2</t>
    </r>
    <r>
      <rPr>
        <sz val="10"/>
        <rFont val="Arial"/>
        <family val="0"/>
      </rPr>
      <t>O are used.</t>
    </r>
  </si>
  <si>
    <r>
      <t xml:space="preserve"> and in Annex IV.C of Directive 2009/30/EC. These numbers include GWP values of 23 for CH</t>
    </r>
    <r>
      <rPr>
        <vertAlign val="subscript"/>
        <sz val="10"/>
        <rFont val="Arial"/>
        <family val="2"/>
      </rPr>
      <t>4</t>
    </r>
    <r>
      <rPr>
        <sz val="10"/>
        <rFont val="Arial"/>
        <family val="0"/>
      </rPr>
      <t xml:space="preserve"> and 296 for N</t>
    </r>
    <r>
      <rPr>
        <vertAlign val="subscript"/>
        <sz val="10"/>
        <rFont val="Arial"/>
        <family val="2"/>
      </rPr>
      <t>2</t>
    </r>
    <r>
      <rPr>
        <sz val="10"/>
        <rFont val="Arial"/>
        <family val="0"/>
      </rPr>
      <t>O.</t>
    </r>
  </si>
  <si>
    <r>
      <t>We used an earlier version of this file (dated July 31, 2008), because one addition that is included in the file on the JRC website was not included in calculating the RED an</t>
    </r>
    <r>
      <rPr>
        <sz val="10"/>
        <rFont val="Arial"/>
        <family val="2"/>
      </rPr>
      <t>d FQD</t>
    </r>
    <r>
      <rPr>
        <sz val="10"/>
        <rFont val="Arial"/>
        <family val="0"/>
      </rPr>
      <t xml:space="preserve"> default values. The difference between the two versions is the steam input in refining of oil to FAME; in the 31 July version this number is 0.0687 MJ/MJ</t>
    </r>
    <r>
      <rPr>
        <vertAlign val="subscript"/>
        <sz val="10"/>
        <rFont val="Arial"/>
        <family val="2"/>
      </rPr>
      <t>FAME</t>
    </r>
    <r>
      <rPr>
        <sz val="10"/>
        <rFont val="Arial"/>
        <family val="0"/>
      </rPr>
      <t xml:space="preserve"> whereas in the 14 Nov version this is 0.0397 MJ/MJ</t>
    </r>
    <r>
      <rPr>
        <vertAlign val="subscript"/>
        <sz val="10"/>
        <rFont val="Arial"/>
        <family val="2"/>
      </rPr>
      <t>FAME</t>
    </r>
    <r>
      <rPr>
        <sz val="10"/>
        <rFont val="Arial"/>
        <family val="0"/>
      </rPr>
      <t xml:space="preserve">.    </t>
    </r>
  </si>
  <si>
    <r>
      <t>These are numbers th</t>
    </r>
    <r>
      <rPr>
        <sz val="10"/>
        <rFont val="Arial"/>
        <family val="0"/>
      </rPr>
      <t>at can be taken from the Well-to-Wheel study, WTT Appendix 1, available at</t>
    </r>
  </si>
  <si>
    <t xml:space="preserve">This excel file shows transparent greenhouse gas (GHG) calculations using the methodology as given in the Directives 2009/28/EC and 2009/30/EC. Directive 2009/28/EC is the "directive on the promotion and the use of energy from renewable energy sources…" and will in this document be referred to as "RED" (Renewable Energy Directive). Directive 2009/30/EC is further referred to as the "FQD" (Fuel Quality Directive). </t>
  </si>
  <si>
    <t>Production of Ethanol from Wheat (NG steam boiler)</t>
  </si>
  <si>
    <t>Production of Ethanol from Sugarbeet</t>
  </si>
  <si>
    <t>Production of FAME from Rapeseed</t>
  </si>
  <si>
    <t>Production of HVO from Rapeseed</t>
  </si>
  <si>
    <t>Directory</t>
  </si>
  <si>
    <t>Biofuel production pathways</t>
  </si>
  <si>
    <t>Ethanol from wheat (process fuel not specified)</t>
  </si>
  <si>
    <t>Transport of ethanol to and from depot</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</si>
</sst>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0.000"/>
    <numFmt numFmtId="183" formatCode="0.0%"/>
    <numFmt numFmtId="184" formatCode="0.0000"/>
    <numFmt numFmtId="185" formatCode="0.00000"/>
    <numFmt numFmtId="186" formatCode="_-* #,##0.0000_-;_-* #,##0.0000\-;_-* &quot;-&quot;??_-;_-@_-"/>
    <numFmt numFmtId="187" formatCode="_-* #,##0.00000_-;_-* #,##0.00000\-;_-* &quot;-&quot;?_-;_-@_-"/>
    <numFmt numFmtId="188" formatCode="_-* #,##0.0_-;_-* #,##0.0\-;_-* &quot;-&quot;?_-;_-@_-"/>
    <numFmt numFmtId="189" formatCode="_-* #,##0.0000_-;_-* #,##0.0000\-;_-* &quot;-&quot;????_-;_-@_-"/>
    <numFmt numFmtId="190" formatCode="_-* #,##0.0\ _€_-;\-* #,##0.0\ _€_-;_-* &quot;-&quot;?\ _€_-;_-@_-"/>
    <numFmt numFmtId="191" formatCode="_-* #,##0.000\ _€_-;\-* #,##0.000\ _€_-;_-* &quot;-&quot;???\ _€_-;_-@_-"/>
    <numFmt numFmtId="192" formatCode="0.000000"/>
    <numFmt numFmtId="193" formatCode="_-* #,##0.0000\ _€_-;\-* #,##0.0000\ _€_-;_-* &quot;-&quot;????\ _€_-;_-@_-"/>
    <numFmt numFmtId="194" formatCode="&quot;Ja&quot;;&quot;Ja&quot;;&quot;Nein&quot;"/>
    <numFmt numFmtId="195" formatCode="&quot;Wahr&quot;;&quot;Wahr&quot;;&quot;Falsch&quot;"/>
    <numFmt numFmtId="196" formatCode="&quot;Ein&quot;;&quot;Ein&quot;;&quot;Aus&quot;"/>
    <numFmt numFmtId="197" formatCode="[$€-2]\ #,##0.00_);[Red]\([$€-2]\ #,##0.00\)"/>
    <numFmt numFmtId="198" formatCode="00.00.00.000"/>
    <numFmt numFmtId="199" formatCode="0.0000000"/>
    <numFmt numFmtId="200" formatCode="_-* #,##0.000_-;_-* #,##0.000\-;_-* &quot;-&quot;???_-;_-@_-"/>
    <numFmt numFmtId="201" formatCode="0.00000000"/>
    <numFmt numFmtId="202" formatCode="_-* #,##0.0_-;_-* #,##0.0\-;_-* &quot;-&quot;??_-;_-@_-"/>
    <numFmt numFmtId="203" formatCode="_-* #,##0.000_-;_-* #,##0.000\-;_-* &quot;-&quot;??_-;_-@_-"/>
    <numFmt numFmtId="204" formatCode="_-* #,##0.00000_-;_-* #,##0.00000\-;_-* &quot;-&quot;?????_-;_-@_-"/>
    <numFmt numFmtId="205" formatCode="_-* #,##0.000000_-;_-* #,##0.000000\-;_-* &quot;-&quot;??????_-;_-@_-"/>
    <numFmt numFmtId="206" formatCode="&quot;Ja&quot;;&quot;Ja&quot;;&quot;Nee&quot;"/>
    <numFmt numFmtId="207" formatCode="&quot;Waar&quot;;&quot;Waar&quot;;&quot;Niet waar&quot;"/>
    <numFmt numFmtId="208" formatCode="&quot;Aan&quot;;&quot;Aan&quot;;&quot;Uit&quot;"/>
    <numFmt numFmtId="209" formatCode="[$€-2]\ #.##000_);[Red]\([$€-2]\ #.##000\)"/>
  </numFmts>
  <fonts count="80">
    <font>
      <sz val="10"/>
      <name val="Arial"/>
      <family val="0"/>
    </font>
    <font>
      <vertAlign val="subscript"/>
      <sz val="10"/>
      <name val="Arial"/>
      <family val="2"/>
    </font>
    <font>
      <vertAlign val="superscript"/>
      <sz val="10"/>
      <name val="Arial"/>
      <family val="2"/>
    </font>
    <font>
      <b/>
      <sz val="12"/>
      <color indexed="21"/>
      <name val="Arial"/>
      <family val="2"/>
    </font>
    <font>
      <b/>
      <sz val="10"/>
      <name val="Arial"/>
      <family val="2"/>
    </font>
    <font>
      <b/>
      <vertAlign val="subscript"/>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name val="Arial"/>
      <family val="0"/>
    </font>
    <font>
      <b/>
      <sz val="12"/>
      <color indexed="9"/>
      <name val="Arial"/>
      <family val="2"/>
    </font>
    <font>
      <sz val="10"/>
      <color indexed="9"/>
      <name val="Arial"/>
      <family val="2"/>
    </font>
    <font>
      <b/>
      <sz val="14"/>
      <color indexed="9"/>
      <name val="Arial"/>
      <family val="2"/>
    </font>
    <font>
      <b/>
      <sz val="10"/>
      <color indexed="9"/>
      <name val="Arial"/>
      <family val="2"/>
    </font>
    <font>
      <sz val="8"/>
      <name val="Tahoma"/>
      <family val="0"/>
    </font>
    <font>
      <b/>
      <vertAlign val="subscript"/>
      <sz val="10"/>
      <color indexed="9"/>
      <name val="Arial"/>
      <family val="2"/>
    </font>
    <font>
      <sz val="14"/>
      <color indexed="9"/>
      <name val="Arial"/>
      <family val="2"/>
    </font>
    <font>
      <b/>
      <sz val="14"/>
      <name val="Arial"/>
      <family val="2"/>
    </font>
    <font>
      <b/>
      <sz val="9"/>
      <name val="Arial"/>
      <family val="2"/>
    </font>
    <font>
      <sz val="10"/>
      <name val="Verdana"/>
      <family val="2"/>
    </font>
    <font>
      <b/>
      <sz val="10"/>
      <name val="Verdana"/>
      <family val="2"/>
    </font>
    <font>
      <b/>
      <sz val="10"/>
      <color indexed="18"/>
      <name val="Verdana"/>
      <family val="2"/>
    </font>
    <font>
      <vertAlign val="subscript"/>
      <sz val="10"/>
      <name val="Verdana"/>
      <family val="2"/>
    </font>
    <font>
      <i/>
      <sz val="10"/>
      <name val="Verdana"/>
      <family val="2"/>
    </font>
    <font>
      <sz val="10"/>
      <color indexed="55"/>
      <name val="Verdana"/>
      <family val="2"/>
    </font>
    <font>
      <sz val="10"/>
      <color indexed="10"/>
      <name val="Verdana"/>
      <family val="2"/>
    </font>
    <font>
      <b/>
      <sz val="10"/>
      <color indexed="10"/>
      <name val="Verdana"/>
      <family val="2"/>
    </font>
    <font>
      <b/>
      <sz val="8"/>
      <name val="Tahoma"/>
      <family val="0"/>
    </font>
    <font>
      <b/>
      <i/>
      <sz val="10"/>
      <name val="Verdana"/>
      <family val="2"/>
    </font>
    <font>
      <i/>
      <sz val="10"/>
      <name val="Arial"/>
      <family val="0"/>
    </font>
    <font>
      <b/>
      <sz val="10"/>
      <color indexed="10"/>
      <name val="Arial"/>
      <family val="2"/>
    </font>
    <font>
      <sz val="11"/>
      <name val="Arial"/>
      <family val="2"/>
    </font>
    <font>
      <b/>
      <vertAlign val="subscript"/>
      <sz val="12"/>
      <color indexed="9"/>
      <name val="Arial"/>
      <family val="2"/>
    </font>
    <font>
      <sz val="9"/>
      <name val="Arial"/>
      <family val="0"/>
    </font>
    <font>
      <b/>
      <sz val="10"/>
      <color indexed="18"/>
      <name val="Arial"/>
      <family val="2"/>
    </font>
    <font>
      <b/>
      <i/>
      <sz val="10"/>
      <color indexed="9"/>
      <name val="Arial"/>
      <family val="2"/>
    </font>
    <font>
      <b/>
      <i/>
      <vertAlign val="subscript"/>
      <sz val="10"/>
      <color indexed="9"/>
      <name val="Arial"/>
      <family val="2"/>
    </font>
    <font>
      <b/>
      <sz val="12"/>
      <color indexed="22"/>
      <name val="Arial"/>
      <family val="2"/>
    </font>
    <font>
      <b/>
      <u val="single"/>
      <sz val="12"/>
      <color indexed="22"/>
      <name val="Arial"/>
      <family val="2"/>
    </font>
    <font>
      <b/>
      <sz val="14"/>
      <color indexed="8"/>
      <name val="Arial"/>
      <family val="2"/>
    </font>
    <font>
      <sz val="14"/>
      <color indexed="8"/>
      <name val="Arial"/>
      <family val="2"/>
    </font>
    <font>
      <sz val="10"/>
      <color indexed="26"/>
      <name val="Arial"/>
      <family val="0"/>
    </font>
    <font>
      <b/>
      <sz val="10"/>
      <color indexed="26"/>
      <name val="Arial"/>
      <family val="0"/>
    </font>
    <font>
      <b/>
      <sz val="10"/>
      <color indexed="9"/>
      <name val="Verdana"/>
      <family val="2"/>
    </font>
    <font>
      <sz val="10"/>
      <color indexed="9"/>
      <name val="Verdana"/>
      <family val="2"/>
    </font>
    <font>
      <b/>
      <sz val="10"/>
      <color indexed="22"/>
      <name val="Verdana"/>
      <family val="2"/>
    </font>
    <font>
      <sz val="10"/>
      <color indexed="22"/>
      <name val="Verdana"/>
      <family val="2"/>
    </font>
    <font>
      <i/>
      <sz val="10"/>
      <color indexed="22"/>
      <name val="Verdana"/>
      <family val="2"/>
    </font>
    <font>
      <b/>
      <sz val="10"/>
      <color indexed="27"/>
      <name val="Verdana"/>
      <family val="2"/>
    </font>
    <font>
      <vertAlign val="subscript"/>
      <sz val="10"/>
      <color indexed="22"/>
      <name val="Verdana"/>
      <family val="2"/>
    </font>
    <font>
      <b/>
      <sz val="16"/>
      <color indexed="9"/>
      <name val="Verdana"/>
      <family val="2"/>
    </font>
    <font>
      <b/>
      <i/>
      <sz val="10"/>
      <color indexed="27"/>
      <name val="Verdana"/>
      <family val="2"/>
    </font>
    <font>
      <i/>
      <sz val="10"/>
      <color indexed="27"/>
      <name val="Arial"/>
      <family val="0"/>
    </font>
    <font>
      <sz val="12"/>
      <name val="Arial"/>
      <family val="2"/>
    </font>
    <font>
      <b/>
      <sz val="11"/>
      <name val="Arial"/>
      <family val="2"/>
    </font>
    <font>
      <vertAlign val="superscript"/>
      <sz val="10"/>
      <color indexed="22"/>
      <name val="Verdana"/>
      <family val="2"/>
    </font>
    <font>
      <i/>
      <sz val="8"/>
      <name val="Arial"/>
      <family val="2"/>
    </font>
    <font>
      <u val="single"/>
      <sz val="11"/>
      <color indexed="19"/>
      <name val="Arial"/>
      <family val="0"/>
    </font>
    <font>
      <sz val="11"/>
      <color indexed="19"/>
      <name val="Arial"/>
      <family val="2"/>
    </font>
    <font>
      <b/>
      <sz val="11"/>
      <color indexed="19"/>
      <name val="Arial"/>
      <family val="2"/>
    </font>
    <font>
      <b/>
      <u val="single"/>
      <sz val="11"/>
      <color indexed="19"/>
      <name val="Arial"/>
      <family val="2"/>
    </font>
    <font>
      <sz val="11"/>
      <color indexed="23"/>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50"/>
        <bgColor indexed="64"/>
      </patternFill>
    </fill>
    <fill>
      <patternFill patternType="solid">
        <fgColor indexed="40"/>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ashed">
        <color indexed="27"/>
      </left>
      <right style="dashed">
        <color indexed="27"/>
      </right>
      <top style="dashed">
        <color indexed="27"/>
      </top>
      <bottom style="dashed">
        <color indexed="27"/>
      </bottom>
    </border>
    <border>
      <left>
        <color indexed="63"/>
      </left>
      <right style="dashed">
        <color indexed="27"/>
      </right>
      <top style="dashed">
        <color indexed="27"/>
      </top>
      <bottom style="dashed">
        <color indexed="27"/>
      </bottom>
    </border>
    <border>
      <left style="dashed">
        <color indexed="27"/>
      </left>
      <right style="dashed">
        <color indexed="27"/>
      </right>
      <top>
        <color indexed="63"/>
      </top>
      <bottom style="dashed">
        <color indexed="27"/>
      </bottom>
    </border>
    <border>
      <left>
        <color indexed="63"/>
      </left>
      <right style="medium"/>
      <top>
        <color indexed="63"/>
      </top>
      <bottom>
        <color indexed="63"/>
      </bottom>
    </border>
    <border>
      <left>
        <color indexed="63"/>
      </left>
      <right style="medium"/>
      <top>
        <color indexed="63"/>
      </top>
      <bottom style="thin"/>
    </border>
    <border>
      <left>
        <color indexed="63"/>
      </left>
      <right style="thick"/>
      <top>
        <color indexed="63"/>
      </top>
      <bottom>
        <color indexed="63"/>
      </bottom>
    </border>
    <border>
      <left>
        <color indexed="63"/>
      </left>
      <right style="dashed">
        <color indexed="27"/>
      </right>
      <top>
        <color indexed="63"/>
      </top>
      <bottom style="dashed">
        <color indexed="27"/>
      </bottom>
    </border>
    <border>
      <left>
        <color indexed="63"/>
      </left>
      <right style="medium"/>
      <top style="dashed">
        <color indexed="27"/>
      </top>
      <bottom style="dashed">
        <color indexed="27"/>
      </bottom>
    </border>
    <border>
      <left style="dashed"/>
      <right style="dashed"/>
      <top style="medium"/>
      <bottom>
        <color indexed="63"/>
      </bottom>
    </border>
    <border>
      <left>
        <color indexed="63"/>
      </left>
      <right style="dashed"/>
      <top style="medium"/>
      <bottom>
        <color indexed="63"/>
      </bottom>
    </border>
    <border>
      <left style="dashed"/>
      <right style="dashed"/>
      <top style="medium"/>
      <bottom style="dashed"/>
    </border>
    <border>
      <left style="medium"/>
      <right style="dashed"/>
      <top style="dashed"/>
      <bottom style="medium"/>
    </border>
    <border>
      <left style="dashed"/>
      <right style="dashed"/>
      <top style="dashed"/>
      <bottom style="medium"/>
    </border>
    <border>
      <left>
        <color indexed="63"/>
      </left>
      <right style="dashed"/>
      <top style="dashed"/>
      <bottom style="medium"/>
    </border>
    <border>
      <left style="dashed"/>
      <right style="medium"/>
      <top style="dashed"/>
      <bottom style="medium"/>
    </border>
    <border>
      <left>
        <color indexed="63"/>
      </left>
      <right style="medium"/>
      <top style="medium"/>
      <bottom>
        <color indexed="63"/>
      </bottom>
    </border>
    <border>
      <left style="dashed"/>
      <right style="medium"/>
      <top style="medium"/>
      <bottom>
        <color indexed="63"/>
      </bottom>
    </border>
    <border>
      <left>
        <color indexed="63"/>
      </left>
      <right style="dashed"/>
      <top style="medium"/>
      <bottom style="dashed"/>
    </border>
    <border>
      <left style="thin"/>
      <right style="medium"/>
      <top>
        <color indexed="63"/>
      </top>
      <bottom>
        <color indexed="63"/>
      </bottom>
    </border>
    <border>
      <left style="dashed"/>
      <right style="medium"/>
      <top style="medium"/>
      <bottom style="dashed"/>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medium"/>
      <top style="medium"/>
      <bottom style="dashed"/>
    </border>
    <border>
      <left style="medium"/>
      <right style="dashed">
        <color indexed="27"/>
      </right>
      <top style="dashed">
        <color indexed="27"/>
      </top>
      <bottom style="dashed">
        <color indexed="27"/>
      </bottom>
    </border>
    <border>
      <left style="medium"/>
      <right style="dashed">
        <color indexed="27"/>
      </right>
      <top style="dashed">
        <color indexed="27"/>
      </top>
      <bottom style="medium"/>
    </border>
    <border>
      <left>
        <color indexed="63"/>
      </left>
      <right style="dashed">
        <color indexed="27"/>
      </right>
      <top style="dashed">
        <color indexed="27"/>
      </top>
      <bottom style="medium"/>
    </border>
    <border>
      <left style="dashed">
        <color indexed="27"/>
      </left>
      <right style="dashed">
        <color indexed="27"/>
      </right>
      <top style="dashed">
        <color indexed="27"/>
      </top>
      <bottom style="medium"/>
    </border>
    <border>
      <left style="dashed">
        <color indexed="27"/>
      </left>
      <right style="medium"/>
      <top style="dashed">
        <color indexed="27"/>
      </top>
      <bottom style="medium"/>
    </border>
    <border>
      <left style="dashed">
        <color indexed="27"/>
      </left>
      <right style="medium"/>
      <top style="dashed">
        <color indexed="27"/>
      </top>
      <bottom style="dashed">
        <color indexed="27"/>
      </bottom>
    </border>
    <border>
      <left style="dashed">
        <color indexed="27"/>
      </left>
      <right style="medium"/>
      <top>
        <color indexed="63"/>
      </top>
      <bottom style="dashed">
        <color indexed="27"/>
      </bottom>
    </border>
    <border>
      <left style="medium"/>
      <right style="dashed">
        <color indexed="27"/>
      </right>
      <top>
        <color indexed="63"/>
      </top>
      <bottom style="dashed">
        <color indexed="27"/>
      </bottom>
    </border>
    <border>
      <left style="medium"/>
      <right style="medium"/>
      <top>
        <color indexed="63"/>
      </top>
      <bottom style="dashed">
        <color indexed="27"/>
      </bottom>
    </border>
    <border>
      <left style="medium"/>
      <right style="medium"/>
      <top style="dashed">
        <color indexed="27"/>
      </top>
      <bottom style="dashed">
        <color indexed="27"/>
      </bottom>
    </border>
    <border>
      <left style="medium"/>
      <right style="medium"/>
      <top style="dashed">
        <color indexed="27"/>
      </top>
      <bottom style="medium"/>
    </border>
    <border>
      <left>
        <color indexed="63"/>
      </left>
      <right style="medium"/>
      <top>
        <color indexed="63"/>
      </top>
      <bottom style="dashed">
        <color indexed="27"/>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color indexed="63"/>
      </left>
      <right style="medium"/>
      <top style="medium"/>
      <bottom style="medium"/>
    </border>
    <border>
      <left style="medium"/>
      <right>
        <color indexed="63"/>
      </right>
      <top style="medium"/>
      <bottom style="medium"/>
    </border>
    <border>
      <left>
        <color indexed="63"/>
      </left>
      <right style="dashed"/>
      <top style="dashed"/>
      <bottom>
        <color indexed="63"/>
      </bottom>
    </border>
    <border>
      <left style="dashed"/>
      <right style="dashed"/>
      <top style="dashed"/>
      <bottom>
        <color indexed="63"/>
      </bottom>
    </border>
    <border>
      <left style="dashed"/>
      <right style="medium"/>
      <top style="dashed"/>
      <bottom>
        <color indexed="63"/>
      </bottom>
    </border>
    <border>
      <left>
        <color indexed="63"/>
      </left>
      <right style="medium"/>
      <top style="dashed"/>
      <bottom>
        <color indexed="63"/>
      </bottom>
    </border>
    <border>
      <left>
        <color indexed="63"/>
      </left>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color indexed="63"/>
      </bottom>
    </border>
    <border>
      <left style="medium"/>
      <right style="medium"/>
      <top style="medium"/>
      <bottom style="medium"/>
    </border>
    <border>
      <left style="dashed"/>
      <right style="dashed"/>
      <top>
        <color indexed="63"/>
      </top>
      <bottom style="dashed"/>
    </border>
    <border>
      <left style="dashed"/>
      <right style="medium"/>
      <top>
        <color indexed="63"/>
      </top>
      <bottom style="dashed"/>
    </border>
    <border>
      <left>
        <color indexed="63"/>
      </left>
      <right style="dashed"/>
      <top>
        <color indexed="63"/>
      </top>
      <bottom style="dashed"/>
    </border>
    <border>
      <left style="dashed"/>
      <right style="dashed"/>
      <top>
        <color indexed="63"/>
      </top>
      <bottom>
        <color indexed="63"/>
      </bottom>
    </border>
    <border>
      <left style="dashed"/>
      <right style="medium"/>
      <top>
        <color indexed="63"/>
      </top>
      <bottom>
        <color indexed="63"/>
      </bottom>
    </border>
    <border>
      <left>
        <color indexed="63"/>
      </left>
      <right style="dotted"/>
      <top style="dotted"/>
      <bottom style="dotted"/>
    </border>
    <border>
      <left style="dotted"/>
      <right style="dotted"/>
      <top style="dotted"/>
      <bottom style="dotted"/>
    </border>
    <border>
      <left style="dotted"/>
      <right style="medium"/>
      <top style="dotted"/>
      <bottom style="dotted"/>
    </border>
    <border>
      <left>
        <color indexed="63"/>
      </left>
      <right style="dashed"/>
      <top style="dotted"/>
      <bottom style="dotted"/>
    </border>
    <border>
      <left>
        <color indexed="63"/>
      </left>
      <right style="dashed"/>
      <top style="dashed"/>
      <bottom style="dotted"/>
    </border>
    <border>
      <left style="dashed"/>
      <right style="medium"/>
      <top style="dashed"/>
      <bottom style="dotted"/>
    </border>
    <border>
      <left style="dashed"/>
      <right style="dashed"/>
      <top style="dashed"/>
      <bottom style="dotted"/>
    </border>
    <border>
      <left style="dashed"/>
      <right style="medium"/>
      <top style="dotted"/>
      <bottom style="dotted"/>
    </border>
    <border>
      <left style="dashed"/>
      <right style="dashed"/>
      <top style="dotted"/>
      <bottom style="dotted"/>
    </border>
    <border>
      <left>
        <color indexed="63"/>
      </left>
      <right style="dotted"/>
      <top style="dashed"/>
      <bottom style="dotted"/>
    </border>
    <border>
      <left style="dotted"/>
      <right style="dotted"/>
      <top style="dashed"/>
      <bottom style="dotted"/>
    </border>
    <border>
      <left style="dotted"/>
      <right style="medium"/>
      <top style="dashed"/>
      <bottom style="dotted"/>
    </border>
    <border>
      <left>
        <color indexed="63"/>
      </left>
      <right style="dashed"/>
      <top style="dotted"/>
      <bottom style="dashed"/>
    </border>
    <border>
      <left style="dashed"/>
      <right style="dashed"/>
      <top style="dotted"/>
      <bottom style="dashed"/>
    </border>
    <border>
      <left style="dashed"/>
      <right style="medium"/>
      <top style="dotted"/>
      <bottom style="dashed"/>
    </border>
    <border>
      <left>
        <color indexed="63"/>
      </left>
      <right style="dotted"/>
      <top style="dotted"/>
      <bottom style="dashed"/>
    </border>
    <border>
      <left style="dotted"/>
      <right style="dotted"/>
      <top style="dotted"/>
      <bottom style="dashed"/>
    </border>
    <border>
      <left style="dotted"/>
      <right style="medium"/>
      <top style="dotted"/>
      <bottom style="dashed"/>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ashed"/>
      <bottom style="dashed"/>
    </border>
    <border>
      <left>
        <color indexed="63"/>
      </left>
      <right style="medium"/>
      <top style="dashed"/>
      <bottom style="dashed"/>
    </border>
    <border>
      <left style="thin"/>
      <right>
        <color indexed="63"/>
      </right>
      <top style="medium"/>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9" fillId="0" borderId="3" applyNumberFormat="0" applyFill="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8" fillId="7" borderId="1"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0" fillId="3" borderId="0" applyNumberFormat="0" applyBorder="0" applyAlignment="0" applyProtection="0"/>
    <xf numFmtId="0" fontId="18" fillId="7" borderId="1" applyNumberFormat="0" applyAlignment="0" applyProtection="0"/>
    <xf numFmtId="0" fontId="19" fillId="0" borderId="3"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1" fillId="20" borderId="8" applyNumberFormat="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cellStyleXfs>
  <cellXfs count="688">
    <xf numFmtId="0" fontId="0" fillId="0" borderId="0" xfId="0" applyAlignment="1">
      <alignment/>
    </xf>
    <xf numFmtId="0" fontId="0" fillId="24" borderId="0" xfId="0" applyFill="1"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Alignment="1">
      <alignment/>
    </xf>
    <xf numFmtId="2" fontId="0" fillId="24" borderId="0" xfId="0" applyNumberFormat="1" applyFill="1" applyBorder="1" applyAlignment="1">
      <alignment/>
    </xf>
    <xf numFmtId="0" fontId="0" fillId="24" borderId="10" xfId="0" applyFill="1" applyBorder="1" applyAlignment="1">
      <alignment/>
    </xf>
    <xf numFmtId="0" fontId="0" fillId="24" borderId="11" xfId="0" applyFill="1" applyBorder="1" applyAlignment="1">
      <alignment/>
    </xf>
    <xf numFmtId="0" fontId="4" fillId="0" borderId="0" xfId="0" applyFont="1" applyFill="1" applyBorder="1" applyAlignment="1">
      <alignment horizontal="right"/>
    </xf>
    <xf numFmtId="0" fontId="0" fillId="20" borderId="0" xfId="0" applyFill="1" applyBorder="1" applyAlignment="1">
      <alignment/>
    </xf>
    <xf numFmtId="0" fontId="4" fillId="20" borderId="0" xfId="0" applyFont="1" applyFill="1" applyBorder="1" applyAlignment="1">
      <alignment/>
    </xf>
    <xf numFmtId="0" fontId="0" fillId="25" borderId="0" xfId="0" applyFill="1" applyAlignment="1">
      <alignment/>
    </xf>
    <xf numFmtId="0" fontId="3" fillId="20" borderId="10" xfId="0" applyFont="1" applyFill="1" applyBorder="1" applyAlignment="1">
      <alignment/>
    </xf>
    <xf numFmtId="0" fontId="0" fillId="20" borderId="10" xfId="0" applyFill="1" applyBorder="1" applyAlignment="1">
      <alignment/>
    </xf>
    <xf numFmtId="181" fontId="25" fillId="20" borderId="0" xfId="0" applyNumberFormat="1" applyFont="1" applyFill="1" applyBorder="1" applyAlignment="1">
      <alignment/>
    </xf>
    <xf numFmtId="180" fontId="0" fillId="20" borderId="0" xfId="0" applyNumberFormat="1" applyFill="1" applyBorder="1" applyAlignment="1">
      <alignment/>
    </xf>
    <xf numFmtId="180" fontId="25" fillId="20" borderId="0" xfId="0" applyNumberFormat="1" applyFont="1" applyFill="1" applyBorder="1" applyAlignment="1">
      <alignment/>
    </xf>
    <xf numFmtId="0" fontId="25" fillId="20" borderId="0" xfId="0" applyFont="1" applyFill="1" applyBorder="1" applyAlignment="1">
      <alignment/>
    </xf>
    <xf numFmtId="0" fontId="4" fillId="20" borderId="0" xfId="0" applyFont="1" applyFill="1" applyBorder="1" applyAlignment="1">
      <alignment horizontal="right"/>
    </xf>
    <xf numFmtId="0" fontId="4" fillId="20" borderId="0" xfId="0" applyFont="1" applyFill="1" applyBorder="1" applyAlignment="1">
      <alignment horizontal="left"/>
    </xf>
    <xf numFmtId="182" fontId="25" fillId="20" borderId="0" xfId="0" applyNumberFormat="1" applyFont="1" applyFill="1" applyBorder="1" applyAlignment="1">
      <alignment/>
    </xf>
    <xf numFmtId="2" fontId="4" fillId="20" borderId="0" xfId="0" applyNumberFormat="1" applyFont="1" applyFill="1" applyBorder="1" applyAlignment="1">
      <alignment horizontal="center"/>
    </xf>
    <xf numFmtId="0" fontId="0" fillId="25" borderId="0" xfId="0" applyFill="1" applyBorder="1" applyAlignment="1">
      <alignment/>
    </xf>
    <xf numFmtId="0" fontId="0" fillId="20" borderId="0" xfId="0" applyFill="1" applyBorder="1" applyAlignment="1">
      <alignment horizontal="right"/>
    </xf>
    <xf numFmtId="0" fontId="4" fillId="0" borderId="0" xfId="0" applyFont="1" applyFill="1" applyAlignment="1">
      <alignment horizontal="center"/>
    </xf>
    <xf numFmtId="0" fontId="4" fillId="0" borderId="0" xfId="0" applyFont="1" applyFill="1" applyAlignment="1">
      <alignment horizontal="left"/>
    </xf>
    <xf numFmtId="180" fontId="0" fillId="25" borderId="0" xfId="0" applyNumberFormat="1" applyFill="1" applyAlignment="1">
      <alignment/>
    </xf>
    <xf numFmtId="0" fontId="3" fillId="20" borderId="12" xfId="0" applyFont="1" applyFill="1" applyBorder="1" applyAlignment="1">
      <alignment/>
    </xf>
    <xf numFmtId="0" fontId="4" fillId="20" borderId="13" xfId="0" applyFont="1" applyFill="1" applyBorder="1" applyAlignment="1">
      <alignment/>
    </xf>
    <xf numFmtId="0" fontId="0" fillId="20" borderId="13" xfId="0" applyFill="1" applyBorder="1" applyAlignment="1">
      <alignment/>
    </xf>
    <xf numFmtId="0" fontId="0" fillId="20" borderId="0" xfId="0" applyFill="1" applyBorder="1" applyAlignment="1">
      <alignment horizontal="left"/>
    </xf>
    <xf numFmtId="2" fontId="0" fillId="20" borderId="0" xfId="0" applyNumberFormat="1" applyFont="1" applyFill="1" applyBorder="1" applyAlignment="1">
      <alignment horizontal="right"/>
    </xf>
    <xf numFmtId="2" fontId="0" fillId="20" borderId="0" xfId="0" applyNumberFormat="1" applyFill="1" applyBorder="1" applyAlignment="1">
      <alignment horizontal="right"/>
    </xf>
    <xf numFmtId="2" fontId="0" fillId="20" borderId="14" xfId="0" applyNumberFormat="1" applyFill="1" applyBorder="1" applyAlignment="1">
      <alignment horizontal="right"/>
    </xf>
    <xf numFmtId="0" fontId="0" fillId="20" borderId="14" xfId="0" applyFill="1" applyBorder="1" applyAlignment="1">
      <alignment horizontal="right"/>
    </xf>
    <xf numFmtId="2" fontId="4" fillId="20" borderId="14" xfId="0" applyNumberFormat="1" applyFont="1" applyFill="1" applyBorder="1" applyAlignment="1">
      <alignment horizontal="center"/>
    </xf>
    <xf numFmtId="0" fontId="0" fillId="0" borderId="0" xfId="0" applyFont="1" applyFill="1" applyAlignment="1">
      <alignment/>
    </xf>
    <xf numFmtId="0" fontId="3" fillId="0" borderId="0" xfId="0" applyFont="1" applyFill="1" applyAlignment="1">
      <alignment/>
    </xf>
    <xf numFmtId="180" fontId="0" fillId="20" borderId="10" xfId="0" applyNumberFormat="1" applyFill="1" applyBorder="1" applyAlignment="1">
      <alignment/>
    </xf>
    <xf numFmtId="0" fontId="0" fillId="20" borderId="0" xfId="0" applyFont="1" applyFill="1" applyBorder="1" applyAlignment="1">
      <alignment/>
    </xf>
    <xf numFmtId="0" fontId="0" fillId="20" borderId="13" xfId="0" applyFont="1" applyFill="1" applyBorder="1" applyAlignment="1">
      <alignment/>
    </xf>
    <xf numFmtId="0" fontId="0" fillId="20" borderId="13" xfId="0" applyFont="1" applyFill="1" applyBorder="1" applyAlignment="1">
      <alignment horizontal="right"/>
    </xf>
    <xf numFmtId="0" fontId="0" fillId="20" borderId="15" xfId="0" applyFont="1" applyFill="1" applyBorder="1" applyAlignment="1">
      <alignment horizontal="right"/>
    </xf>
    <xf numFmtId="0" fontId="0" fillId="20" borderId="0" xfId="0" applyFont="1" applyFill="1" applyBorder="1" applyAlignment="1">
      <alignment horizontal="center"/>
    </xf>
    <xf numFmtId="0" fontId="0" fillId="20" borderId="14" xfId="0" applyFont="1" applyFill="1" applyBorder="1" applyAlignment="1">
      <alignment horizontal="center"/>
    </xf>
    <xf numFmtId="0" fontId="0" fillId="20" borderId="0" xfId="0" applyFont="1" applyFill="1" applyBorder="1" applyAlignment="1">
      <alignment horizontal="right"/>
    </xf>
    <xf numFmtId="0" fontId="4" fillId="25" borderId="0" xfId="0" applyFont="1" applyFill="1" applyAlignment="1">
      <alignment horizontal="right"/>
    </xf>
    <xf numFmtId="0" fontId="30" fillId="25" borderId="0" xfId="0" applyFont="1" applyFill="1" applyAlignment="1">
      <alignment horizontal="right"/>
    </xf>
    <xf numFmtId="0" fontId="30" fillId="25" borderId="0" xfId="0" applyFont="1" applyFill="1" applyAlignment="1">
      <alignment horizontal="left"/>
    </xf>
    <xf numFmtId="0" fontId="4" fillId="25" borderId="0" xfId="0" applyFont="1" applyFill="1" applyBorder="1" applyAlignment="1">
      <alignment horizontal="right"/>
    </xf>
    <xf numFmtId="2" fontId="30" fillId="25" borderId="0" xfId="0" applyNumberFormat="1" applyFont="1" applyFill="1" applyAlignment="1">
      <alignment horizontal="right"/>
    </xf>
    <xf numFmtId="0" fontId="30" fillId="25" borderId="0" xfId="0" applyFont="1" applyFill="1" applyBorder="1" applyAlignment="1">
      <alignment horizontal="right"/>
    </xf>
    <xf numFmtId="0" fontId="0" fillId="25" borderId="0" xfId="0" applyFill="1" applyBorder="1" applyAlignment="1">
      <alignment horizontal="center"/>
    </xf>
    <xf numFmtId="0" fontId="30" fillId="25" borderId="0" xfId="0" applyFont="1" applyFill="1" applyBorder="1" applyAlignment="1">
      <alignment horizontal="center"/>
    </xf>
    <xf numFmtId="0" fontId="4" fillId="25" borderId="0" xfId="0" applyFont="1" applyFill="1" applyBorder="1" applyAlignment="1">
      <alignment horizontal="center"/>
    </xf>
    <xf numFmtId="2" fontId="30" fillId="25" borderId="0" xfId="0" applyNumberFormat="1" applyFont="1" applyFill="1" applyBorder="1" applyAlignment="1">
      <alignment horizontal="center"/>
    </xf>
    <xf numFmtId="0" fontId="4" fillId="25" borderId="0" xfId="0" applyFont="1" applyFill="1" applyBorder="1" applyAlignment="1">
      <alignment horizontal="left"/>
    </xf>
    <xf numFmtId="180" fontId="4" fillId="25" borderId="0" xfId="0" applyNumberFormat="1" applyFont="1" applyFill="1" applyBorder="1" applyAlignment="1">
      <alignment horizontal="right"/>
    </xf>
    <xf numFmtId="180" fontId="4" fillId="25" borderId="0" xfId="0" applyNumberFormat="1" applyFont="1" applyFill="1" applyBorder="1" applyAlignment="1">
      <alignment horizontal="center"/>
    </xf>
    <xf numFmtId="2" fontId="4" fillId="25" borderId="0" xfId="0" applyNumberFormat="1" applyFont="1" applyFill="1" applyAlignment="1">
      <alignment horizontal="center"/>
    </xf>
    <xf numFmtId="0" fontId="4" fillId="25" borderId="0" xfId="0" applyFont="1" applyFill="1" applyAlignment="1">
      <alignment horizontal="left"/>
    </xf>
    <xf numFmtId="0" fontId="29" fillId="25" borderId="0" xfId="0" applyFont="1" applyFill="1" applyBorder="1" applyAlignment="1">
      <alignment horizontal="center"/>
    </xf>
    <xf numFmtId="0" fontId="28" fillId="25" borderId="0" xfId="0" applyFont="1" applyFill="1" applyBorder="1" applyAlignment="1">
      <alignment/>
    </xf>
    <xf numFmtId="180" fontId="30" fillId="25" borderId="0" xfId="0" applyNumberFormat="1" applyFont="1" applyFill="1" applyBorder="1" applyAlignment="1">
      <alignment horizontal="right"/>
    </xf>
    <xf numFmtId="0" fontId="28" fillId="25" borderId="0" xfId="0" applyFont="1" applyFill="1" applyBorder="1" applyAlignment="1">
      <alignment horizontal="right"/>
    </xf>
    <xf numFmtId="0" fontId="0" fillId="25" borderId="0" xfId="0" applyFill="1" applyBorder="1" applyAlignment="1">
      <alignment horizontal="right"/>
    </xf>
    <xf numFmtId="2" fontId="4" fillId="25" borderId="0" xfId="0" applyNumberFormat="1" applyFont="1" applyFill="1" applyBorder="1" applyAlignment="1">
      <alignment horizontal="center"/>
    </xf>
    <xf numFmtId="1" fontId="30" fillId="25" borderId="0" xfId="0" applyNumberFormat="1" applyFont="1" applyFill="1" applyBorder="1" applyAlignment="1">
      <alignment/>
    </xf>
    <xf numFmtId="180" fontId="29" fillId="25" borderId="0" xfId="0" applyNumberFormat="1" applyFont="1" applyFill="1" applyBorder="1" applyAlignment="1">
      <alignment/>
    </xf>
    <xf numFmtId="0" fontId="0" fillId="24" borderId="0" xfId="0" applyFill="1" applyBorder="1" applyAlignment="1">
      <alignment horizontal="right"/>
    </xf>
    <xf numFmtId="181" fontId="0" fillId="24" borderId="0" xfId="0" applyNumberFormat="1" applyFill="1" applyBorder="1" applyAlignment="1">
      <alignment/>
    </xf>
    <xf numFmtId="0" fontId="0" fillId="25" borderId="0" xfId="0" applyFont="1" applyFill="1" applyBorder="1" applyAlignment="1">
      <alignment vertical="top"/>
    </xf>
    <xf numFmtId="2" fontId="4" fillId="25" borderId="0" xfId="0" applyNumberFormat="1" applyFont="1" applyFill="1" applyAlignment="1">
      <alignment horizontal="right"/>
    </xf>
    <xf numFmtId="2" fontId="30" fillId="25" borderId="0" xfId="0" applyNumberFormat="1" applyFont="1" applyFill="1" applyAlignment="1">
      <alignment horizontal="center"/>
    </xf>
    <xf numFmtId="0" fontId="0" fillId="0" borderId="0" xfId="0" applyFill="1" applyAlignment="1" quotePrefix="1">
      <alignment horizontal="right"/>
    </xf>
    <xf numFmtId="0" fontId="35" fillId="0" borderId="0" xfId="0" applyFont="1" applyFill="1" applyAlignment="1">
      <alignment horizontal="right"/>
    </xf>
    <xf numFmtId="2" fontId="0" fillId="20" borderId="0" xfId="0" applyNumberFormat="1" applyFill="1" applyBorder="1" applyAlignment="1">
      <alignment/>
    </xf>
    <xf numFmtId="181" fontId="0" fillId="20" borderId="0" xfId="0" applyNumberFormat="1" applyFill="1" applyBorder="1" applyAlignment="1">
      <alignment/>
    </xf>
    <xf numFmtId="0" fontId="4" fillId="20" borderId="10" xfId="0" applyFont="1" applyFill="1" applyBorder="1" applyAlignment="1">
      <alignment/>
    </xf>
    <xf numFmtId="0" fontId="0" fillId="20" borderId="11" xfId="0" applyFill="1" applyBorder="1" applyAlignment="1">
      <alignment horizontal="right"/>
    </xf>
    <xf numFmtId="0" fontId="0" fillId="20" borderId="14" xfId="0" applyFont="1" applyFill="1" applyBorder="1" applyAlignment="1">
      <alignment horizontal="right"/>
    </xf>
    <xf numFmtId="0" fontId="0" fillId="20" borderId="14" xfId="0" applyFill="1" applyBorder="1" applyAlignment="1">
      <alignment/>
    </xf>
    <xf numFmtId="0" fontId="4" fillId="20" borderId="10" xfId="0" applyFont="1" applyFill="1" applyBorder="1" applyAlignment="1">
      <alignment horizontal="right"/>
    </xf>
    <xf numFmtId="187" fontId="0" fillId="20" borderId="0" xfId="0" applyNumberFormat="1" applyFill="1" applyBorder="1" applyAlignment="1">
      <alignment/>
    </xf>
    <xf numFmtId="0" fontId="0" fillId="20" borderId="10" xfId="0" applyFont="1" applyFill="1" applyBorder="1" applyAlignment="1">
      <alignment/>
    </xf>
    <xf numFmtId="0" fontId="0" fillId="20" borderId="0" xfId="0" applyFont="1" applyFill="1" applyBorder="1" applyAlignment="1">
      <alignment/>
    </xf>
    <xf numFmtId="2" fontId="25" fillId="20" borderId="0" xfId="0" applyNumberFormat="1" applyFont="1" applyFill="1" applyBorder="1" applyAlignment="1">
      <alignment/>
    </xf>
    <xf numFmtId="2" fontId="0" fillId="20" borderId="14" xfId="0" applyNumberFormat="1" applyFill="1" applyBorder="1" applyAlignment="1">
      <alignment/>
    </xf>
    <xf numFmtId="2" fontId="4" fillId="20" borderId="0" xfId="0" applyNumberFormat="1" applyFont="1" applyFill="1" applyBorder="1" applyAlignment="1">
      <alignment/>
    </xf>
    <xf numFmtId="0" fontId="0" fillId="20" borderId="0" xfId="0" applyFill="1" applyBorder="1" applyAlignment="1" quotePrefix="1">
      <alignment/>
    </xf>
    <xf numFmtId="185" fontId="0" fillId="20" borderId="0" xfId="0" applyNumberFormat="1" applyFill="1" applyBorder="1" applyAlignment="1">
      <alignment/>
    </xf>
    <xf numFmtId="2" fontId="0" fillId="20" borderId="14" xfId="0" applyNumberFormat="1" applyFont="1" applyFill="1" applyBorder="1" applyAlignment="1">
      <alignment horizontal="right"/>
    </xf>
    <xf numFmtId="0" fontId="27" fillId="20" borderId="10" xfId="0" applyFont="1" applyFill="1" applyBorder="1" applyAlignment="1">
      <alignment/>
    </xf>
    <xf numFmtId="0" fontId="0" fillId="20" borderId="0" xfId="0" applyFont="1" applyFill="1" applyBorder="1" applyAlignment="1">
      <alignment horizontal="left"/>
    </xf>
    <xf numFmtId="180" fontId="4" fillId="20" borderId="0" xfId="0" applyNumberFormat="1" applyFont="1" applyFill="1" applyBorder="1" applyAlignment="1">
      <alignment/>
    </xf>
    <xf numFmtId="0" fontId="0" fillId="20" borderId="11" xfId="0" applyFill="1" applyBorder="1" applyAlignment="1">
      <alignment/>
    </xf>
    <xf numFmtId="186" fontId="4" fillId="20" borderId="0" xfId="0" applyNumberFormat="1" applyFont="1" applyFill="1" applyBorder="1" applyAlignment="1">
      <alignment/>
    </xf>
    <xf numFmtId="0" fontId="0" fillId="22" borderId="0" xfId="0" applyFill="1" applyBorder="1" applyAlignment="1">
      <alignment/>
    </xf>
    <xf numFmtId="0" fontId="4" fillId="22" borderId="0" xfId="0" applyFont="1" applyFill="1" applyBorder="1" applyAlignment="1">
      <alignment horizontal="left"/>
    </xf>
    <xf numFmtId="2" fontId="0" fillId="20" borderId="0" xfId="0" applyNumberFormat="1" applyFont="1" applyFill="1" applyBorder="1" applyAlignment="1">
      <alignment horizontal="center"/>
    </xf>
    <xf numFmtId="183" fontId="0" fillId="20" borderId="0" xfId="0" applyNumberFormat="1" applyFont="1" applyFill="1" applyBorder="1" applyAlignment="1">
      <alignment horizontal="center"/>
    </xf>
    <xf numFmtId="0" fontId="28" fillId="20" borderId="14" xfId="0" applyFont="1" applyFill="1" applyBorder="1" applyAlignment="1">
      <alignment horizontal="center"/>
    </xf>
    <xf numFmtId="9" fontId="0" fillId="20" borderId="0" xfId="0" applyNumberFormat="1" applyFont="1" applyFill="1" applyBorder="1" applyAlignment="1">
      <alignment horizontal="center"/>
    </xf>
    <xf numFmtId="0" fontId="4" fillId="20" borderId="12" xfId="0" applyFont="1" applyFill="1" applyBorder="1" applyAlignment="1">
      <alignment horizontal="left"/>
    </xf>
    <xf numFmtId="181" fontId="0" fillId="20" borderId="10" xfId="65" applyNumberFormat="1" applyFont="1" applyFill="1" applyBorder="1" applyAlignment="1">
      <alignment/>
    </xf>
    <xf numFmtId="181" fontId="0" fillId="20" borderId="10" xfId="0" applyNumberFormat="1" applyFill="1" applyBorder="1" applyAlignment="1">
      <alignment horizontal="right"/>
    </xf>
    <xf numFmtId="181" fontId="0" fillId="20" borderId="10" xfId="0" applyNumberFormat="1" applyFill="1" applyBorder="1" applyAlignment="1">
      <alignment/>
    </xf>
    <xf numFmtId="182" fontId="0" fillId="20" borderId="10" xfId="0" applyNumberFormat="1" applyFont="1" applyFill="1" applyBorder="1" applyAlignment="1">
      <alignment/>
    </xf>
    <xf numFmtId="0" fontId="36" fillId="0" borderId="0" xfId="0" applyFont="1" applyAlignment="1">
      <alignment/>
    </xf>
    <xf numFmtId="0" fontId="37" fillId="0" borderId="0" xfId="0" applyFont="1" applyAlignment="1">
      <alignment/>
    </xf>
    <xf numFmtId="0" fontId="36" fillId="0" borderId="0" xfId="0" applyFont="1" applyFill="1" applyAlignment="1">
      <alignment/>
    </xf>
    <xf numFmtId="0" fontId="36" fillId="26" borderId="0" xfId="0" applyFont="1" applyFill="1" applyAlignment="1">
      <alignment/>
    </xf>
    <xf numFmtId="1" fontId="36" fillId="0" borderId="0" xfId="0" applyNumberFormat="1" applyFont="1" applyAlignment="1">
      <alignment/>
    </xf>
    <xf numFmtId="9" fontId="36" fillId="0" borderId="0" xfId="89" applyFont="1" applyAlignment="1">
      <alignment/>
    </xf>
    <xf numFmtId="0" fontId="42" fillId="0" borderId="0" xfId="0" applyFont="1" applyAlignment="1">
      <alignment/>
    </xf>
    <xf numFmtId="9" fontId="43" fillId="0" borderId="0" xfId="89" applyFont="1" applyAlignment="1">
      <alignment/>
    </xf>
    <xf numFmtId="9" fontId="36" fillId="0" borderId="0" xfId="0" applyNumberFormat="1" applyFont="1" applyAlignment="1">
      <alignment/>
    </xf>
    <xf numFmtId="2" fontId="4" fillId="20" borderId="0" xfId="0" applyNumberFormat="1" applyFont="1" applyFill="1" applyBorder="1" applyAlignment="1">
      <alignment horizontal="right"/>
    </xf>
    <xf numFmtId="2" fontId="4" fillId="20" borderId="14" xfId="0" applyNumberFormat="1" applyFont="1" applyFill="1" applyBorder="1" applyAlignment="1">
      <alignment horizontal="right"/>
    </xf>
    <xf numFmtId="0" fontId="34" fillId="25" borderId="0" xfId="0" applyFont="1" applyFill="1" applyAlignment="1">
      <alignment horizontal="left" vertical="center"/>
    </xf>
    <xf numFmtId="0" fontId="34" fillId="25" borderId="0" xfId="0" applyFont="1" applyFill="1" applyBorder="1" applyAlignment="1">
      <alignment vertical="center"/>
    </xf>
    <xf numFmtId="0" fontId="28" fillId="25" borderId="0" xfId="0" applyFont="1" applyFill="1" applyAlignment="1">
      <alignment/>
    </xf>
    <xf numFmtId="0" fontId="29" fillId="25" borderId="0" xfId="0" applyFont="1" applyFill="1" applyAlignment="1">
      <alignment/>
    </xf>
    <xf numFmtId="0" fontId="0" fillId="25" borderId="0" xfId="0" applyFill="1" applyBorder="1" applyAlignment="1">
      <alignment/>
    </xf>
    <xf numFmtId="182" fontId="0" fillId="20" borderId="10" xfId="0" applyNumberFormat="1" applyFont="1" applyFill="1" applyBorder="1" applyAlignment="1">
      <alignment/>
    </xf>
    <xf numFmtId="184" fontId="0" fillId="20" borderId="10" xfId="0" applyNumberFormat="1" applyFill="1" applyBorder="1" applyAlignment="1">
      <alignment/>
    </xf>
    <xf numFmtId="182" fontId="0" fillId="20" borderId="10" xfId="0" applyNumberFormat="1" applyFill="1" applyBorder="1" applyAlignment="1">
      <alignment/>
    </xf>
    <xf numFmtId="0" fontId="4" fillId="20" borderId="16" xfId="0" applyFont="1" applyFill="1" applyBorder="1" applyAlignment="1">
      <alignment horizontal="left"/>
    </xf>
    <xf numFmtId="2" fontId="4" fillId="20" borderId="17" xfId="0" applyNumberFormat="1" applyFont="1" applyFill="1" applyBorder="1" applyAlignment="1">
      <alignment/>
    </xf>
    <xf numFmtId="0" fontId="0" fillId="0" borderId="0" xfId="0" applyBorder="1" applyAlignment="1">
      <alignment/>
    </xf>
    <xf numFmtId="0" fontId="48" fillId="0" borderId="0" xfId="0" applyFont="1" applyBorder="1" applyAlignment="1">
      <alignment/>
    </xf>
    <xf numFmtId="2" fontId="0" fillId="20" borderId="14" xfId="0" applyNumberFormat="1" applyFont="1" applyFill="1" applyBorder="1" applyAlignment="1">
      <alignment/>
    </xf>
    <xf numFmtId="180" fontId="0" fillId="20" borderId="14" xfId="0" applyNumberFormat="1" applyFill="1" applyBorder="1" applyAlignment="1">
      <alignment/>
    </xf>
    <xf numFmtId="180" fontId="4" fillId="20" borderId="17" xfId="0" applyNumberFormat="1" applyFont="1" applyFill="1" applyBorder="1" applyAlignment="1">
      <alignment/>
    </xf>
    <xf numFmtId="0" fontId="4" fillId="25" borderId="0" xfId="0" applyFont="1" applyFill="1" applyAlignment="1">
      <alignment horizontal="center"/>
    </xf>
    <xf numFmtId="0" fontId="0" fillId="25" borderId="0" xfId="0" applyFill="1" applyBorder="1" applyAlignment="1">
      <alignment vertical="top"/>
    </xf>
    <xf numFmtId="0" fontId="0" fillId="25" borderId="18" xfId="0" applyFill="1" applyBorder="1" applyAlignment="1">
      <alignment vertical="top"/>
    </xf>
    <xf numFmtId="0" fontId="4" fillId="22" borderId="19" xfId="0" applyFont="1" applyFill="1" applyBorder="1" applyAlignment="1">
      <alignment/>
    </xf>
    <xf numFmtId="0" fontId="0" fillId="22" borderId="20" xfId="0" applyFill="1" applyBorder="1" applyAlignment="1">
      <alignment/>
    </xf>
    <xf numFmtId="0" fontId="0" fillId="22" borderId="21" xfId="0" applyFill="1" applyBorder="1" applyAlignment="1">
      <alignment/>
    </xf>
    <xf numFmtId="0" fontId="4" fillId="22" borderId="0" xfId="0" applyFont="1" applyFill="1" applyBorder="1" applyAlignment="1">
      <alignment horizontal="center"/>
    </xf>
    <xf numFmtId="0" fontId="27" fillId="25" borderId="0" xfId="0" applyFont="1" applyFill="1" applyBorder="1" applyAlignment="1">
      <alignment/>
    </xf>
    <xf numFmtId="0" fontId="0" fillId="25" borderId="0" xfId="0" applyFont="1" applyFill="1" applyBorder="1" applyAlignment="1">
      <alignment horizontal="center"/>
    </xf>
    <xf numFmtId="2" fontId="0" fillId="25" borderId="0" xfId="0" applyNumberFormat="1" applyFont="1" applyFill="1" applyBorder="1" applyAlignment="1">
      <alignment/>
    </xf>
    <xf numFmtId="2" fontId="4" fillId="25" borderId="0" xfId="0" applyNumberFormat="1" applyFont="1" applyFill="1" applyBorder="1" applyAlignment="1">
      <alignment/>
    </xf>
    <xf numFmtId="2" fontId="28" fillId="20" borderId="14" xfId="0" applyNumberFormat="1" applyFont="1" applyFill="1" applyBorder="1" applyAlignment="1">
      <alignment horizontal="center"/>
    </xf>
    <xf numFmtId="180" fontId="4" fillId="25" borderId="0" xfId="0" applyNumberFormat="1" applyFont="1" applyFill="1" applyBorder="1" applyAlignment="1">
      <alignment/>
    </xf>
    <xf numFmtId="0" fontId="0" fillId="20" borderId="0" xfId="0" applyFill="1" applyAlignment="1">
      <alignment/>
    </xf>
    <xf numFmtId="0" fontId="4" fillId="20" borderId="16" xfId="0" applyFont="1" applyFill="1" applyBorder="1" applyAlignment="1">
      <alignment horizontal="center"/>
    </xf>
    <xf numFmtId="0" fontId="0" fillId="20" borderId="11" xfId="0" applyFont="1" applyFill="1" applyBorder="1" applyAlignment="1">
      <alignment horizontal="left"/>
    </xf>
    <xf numFmtId="183" fontId="0" fillId="24" borderId="10" xfId="89" applyNumberFormat="1" applyFont="1" applyFill="1" applyBorder="1" applyAlignment="1" quotePrefix="1">
      <alignment/>
    </xf>
    <xf numFmtId="0" fontId="0" fillId="24" borderId="0" xfId="0" applyFont="1" applyFill="1" applyBorder="1" applyAlignment="1">
      <alignment/>
    </xf>
    <xf numFmtId="183" fontId="0" fillId="24" borderId="11" xfId="89" applyNumberFormat="1" applyFont="1" applyFill="1" applyBorder="1" applyAlignment="1" quotePrefix="1">
      <alignment/>
    </xf>
    <xf numFmtId="183" fontId="0" fillId="24" borderId="22" xfId="89" applyNumberFormat="1" applyFont="1" applyFill="1" applyBorder="1" applyAlignment="1">
      <alignment horizontal="right"/>
    </xf>
    <xf numFmtId="0" fontId="0" fillId="24" borderId="18" xfId="0" applyFont="1" applyFill="1" applyBorder="1" applyAlignment="1">
      <alignment horizontal="left"/>
    </xf>
    <xf numFmtId="183" fontId="0" fillId="24" borderId="23" xfId="89" applyNumberFormat="1" applyFont="1" applyFill="1" applyBorder="1" applyAlignment="1" quotePrefix="1">
      <alignment/>
    </xf>
    <xf numFmtId="183" fontId="0" fillId="24" borderId="10" xfId="89" applyNumberFormat="1" applyFont="1" applyFill="1" applyBorder="1" applyAlignment="1">
      <alignment horizontal="right"/>
    </xf>
    <xf numFmtId="0" fontId="0" fillId="24" borderId="0" xfId="0" applyFont="1" applyFill="1" applyBorder="1" applyAlignment="1">
      <alignment horizontal="left"/>
    </xf>
    <xf numFmtId="2" fontId="4" fillId="24" borderId="0" xfId="0" applyNumberFormat="1" applyFont="1" applyFill="1" applyBorder="1" applyAlignment="1">
      <alignment/>
    </xf>
    <xf numFmtId="0" fontId="4" fillId="0" borderId="0" xfId="0" applyFont="1" applyFill="1" applyBorder="1" applyAlignment="1">
      <alignment horizontal="center"/>
    </xf>
    <xf numFmtId="0" fontId="0" fillId="0" borderId="0" xfId="0" applyNumberFormat="1" applyFill="1" applyBorder="1" applyAlignment="1">
      <alignment/>
    </xf>
    <xf numFmtId="0" fontId="4" fillId="0" borderId="0" xfId="0"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horizontal="left" indent="2"/>
    </xf>
    <xf numFmtId="0" fontId="0" fillId="0" borderId="0" xfId="0" applyFont="1" applyFill="1" applyBorder="1" applyAlignment="1">
      <alignment horizontal="left" indent="1"/>
    </xf>
    <xf numFmtId="0" fontId="4" fillId="0" borderId="0" xfId="0" applyFont="1" applyFill="1" applyBorder="1" applyAlignment="1">
      <alignment horizontal="left"/>
    </xf>
    <xf numFmtId="0" fontId="0" fillId="0" borderId="0" xfId="0" applyFont="1" applyFill="1" applyBorder="1" applyAlignment="1">
      <alignment/>
    </xf>
    <xf numFmtId="0" fontId="0" fillId="0" borderId="0" xfId="0" applyFill="1" applyBorder="1" applyAlignment="1">
      <alignment vertical="top"/>
    </xf>
    <xf numFmtId="180" fontId="0" fillId="0" borderId="0" xfId="0" applyNumberFormat="1" applyFill="1" applyBorder="1" applyAlignment="1">
      <alignment vertical="top"/>
    </xf>
    <xf numFmtId="0" fontId="0" fillId="0" borderId="0" xfId="0" applyFont="1" applyFill="1" applyBorder="1" applyAlignment="1">
      <alignment vertical="top"/>
    </xf>
    <xf numFmtId="183" fontId="0" fillId="25" borderId="0" xfId="89" applyNumberFormat="1" applyFont="1" applyFill="1" applyBorder="1" applyAlignment="1">
      <alignment horizontal="right"/>
    </xf>
    <xf numFmtId="0" fontId="0" fillId="25" borderId="0" xfId="0" applyFont="1" applyFill="1" applyBorder="1" applyAlignment="1">
      <alignment horizontal="left"/>
    </xf>
    <xf numFmtId="183" fontId="0" fillId="25" borderId="0" xfId="89" applyNumberFormat="1" applyFont="1" applyFill="1" applyBorder="1" applyAlignment="1" quotePrefix="1">
      <alignment/>
    </xf>
    <xf numFmtId="203" fontId="0" fillId="24" borderId="0" xfId="0" applyNumberFormat="1" applyFill="1" applyBorder="1" applyAlignment="1">
      <alignment/>
    </xf>
    <xf numFmtId="0" fontId="29" fillId="23" borderId="24" xfId="0" applyFont="1" applyFill="1" applyBorder="1" applyAlignment="1">
      <alignment horizontal="center" vertical="center"/>
    </xf>
    <xf numFmtId="0" fontId="29" fillId="23" borderId="24" xfId="0" applyFont="1" applyFill="1" applyBorder="1" applyAlignment="1">
      <alignment vertical="center"/>
    </xf>
    <xf numFmtId="0" fontId="28" fillId="23" borderId="24" xfId="0" applyFont="1" applyFill="1" applyBorder="1" applyAlignment="1">
      <alignment vertical="center"/>
    </xf>
    <xf numFmtId="0" fontId="30" fillId="23" borderId="24" xfId="0" applyFont="1" applyFill="1" applyBorder="1" applyAlignment="1">
      <alignment horizontal="right" vertical="center"/>
    </xf>
    <xf numFmtId="0" fontId="0" fillId="23" borderId="24" xfId="0" applyFill="1" applyBorder="1" applyAlignment="1">
      <alignment vertical="center"/>
    </xf>
    <xf numFmtId="0" fontId="54" fillId="23" borderId="24" xfId="81" applyFont="1" applyFill="1" applyBorder="1" applyAlignment="1">
      <alignment/>
    </xf>
    <xf numFmtId="0" fontId="55" fillId="23" borderId="24" xfId="81" applyFont="1" applyFill="1" applyBorder="1" applyAlignment="1">
      <alignment horizontal="left" vertical="center"/>
    </xf>
    <xf numFmtId="0" fontId="55" fillId="23" borderId="24" xfId="81" applyFont="1" applyFill="1" applyBorder="1" applyAlignment="1">
      <alignment vertical="center"/>
    </xf>
    <xf numFmtId="0" fontId="27" fillId="23" borderId="25" xfId="0" applyFont="1" applyFill="1" applyBorder="1" applyAlignment="1">
      <alignment horizontal="right" vertical="center"/>
    </xf>
    <xf numFmtId="0" fontId="30" fillId="23" borderId="13" xfId="0" applyFont="1" applyFill="1" applyBorder="1" applyAlignment="1">
      <alignment horizontal="center"/>
    </xf>
    <xf numFmtId="0" fontId="29" fillId="23" borderId="16" xfId="0" applyFont="1" applyFill="1" applyBorder="1" applyAlignment="1">
      <alignment horizontal="center"/>
    </xf>
    <xf numFmtId="0" fontId="30" fillId="23" borderId="18" xfId="0" applyFont="1" applyFill="1" applyBorder="1" applyAlignment="1">
      <alignment horizontal="center"/>
    </xf>
    <xf numFmtId="0" fontId="28" fillId="23" borderId="17" xfId="0" applyFont="1" applyFill="1" applyBorder="1" applyAlignment="1">
      <alignment/>
    </xf>
    <xf numFmtId="0" fontId="27" fillId="23" borderId="16" xfId="0" applyFont="1" applyFill="1" applyBorder="1" applyAlignment="1">
      <alignment horizontal="center"/>
    </xf>
    <xf numFmtId="0" fontId="27" fillId="23" borderId="17" xfId="0" applyFont="1" applyFill="1" applyBorder="1" applyAlignment="1">
      <alignment horizontal="center"/>
    </xf>
    <xf numFmtId="0" fontId="29" fillId="23" borderId="12" xfId="0" applyFont="1" applyFill="1" applyBorder="1" applyAlignment="1">
      <alignment horizontal="left"/>
    </xf>
    <xf numFmtId="0" fontId="28" fillId="23" borderId="13" xfId="0" applyFont="1" applyFill="1" applyBorder="1" applyAlignment="1">
      <alignment/>
    </xf>
    <xf numFmtId="0" fontId="29" fillId="23" borderId="15" xfId="0" applyFont="1" applyFill="1" applyBorder="1" applyAlignment="1">
      <alignment horizontal="left"/>
    </xf>
    <xf numFmtId="0" fontId="52" fillId="23" borderId="10" xfId="0" applyFont="1" applyFill="1" applyBorder="1" applyAlignment="1">
      <alignment horizontal="center"/>
    </xf>
    <xf numFmtId="0" fontId="27" fillId="6" borderId="10" xfId="0" applyFont="1" applyFill="1" applyBorder="1" applyAlignment="1">
      <alignment horizontal="left"/>
    </xf>
    <xf numFmtId="0" fontId="27" fillId="6" borderId="0" xfId="0" applyFont="1" applyFill="1" applyBorder="1" applyAlignment="1">
      <alignment horizontal="center"/>
    </xf>
    <xf numFmtId="2" fontId="30" fillId="6" borderId="0" xfId="0" applyNumberFormat="1" applyFont="1" applyFill="1" applyBorder="1" applyAlignment="1">
      <alignment horizontal="center"/>
    </xf>
    <xf numFmtId="0" fontId="0" fillId="6" borderId="0" xfId="0" applyFill="1" applyBorder="1" applyAlignment="1">
      <alignment/>
    </xf>
    <xf numFmtId="180" fontId="30" fillId="6" borderId="14" xfId="0" applyNumberFormat="1" applyFont="1" applyFill="1" applyBorder="1" applyAlignment="1">
      <alignment horizontal="center"/>
    </xf>
    <xf numFmtId="0" fontId="30" fillId="6" borderId="14" xfId="0" applyFont="1" applyFill="1" applyBorder="1" applyAlignment="1">
      <alignment horizontal="center"/>
    </xf>
    <xf numFmtId="0" fontId="0" fillId="27" borderId="10" xfId="0" applyFill="1" applyBorder="1" applyAlignment="1">
      <alignment/>
    </xf>
    <xf numFmtId="0" fontId="0" fillId="27" borderId="0" xfId="0" applyFill="1" applyBorder="1" applyAlignment="1">
      <alignment/>
    </xf>
    <xf numFmtId="0" fontId="0" fillId="27" borderId="11" xfId="0" applyFill="1" applyBorder="1" applyAlignment="1">
      <alignment/>
    </xf>
    <xf numFmtId="0" fontId="0" fillId="6" borderId="10" xfId="0" applyFill="1" applyBorder="1" applyAlignment="1">
      <alignment/>
    </xf>
    <xf numFmtId="0" fontId="0" fillId="6" borderId="11" xfId="0" applyFill="1" applyBorder="1" applyAlignment="1">
      <alignment/>
    </xf>
    <xf numFmtId="0" fontId="28" fillId="6" borderId="0" xfId="0" applyFont="1" applyFill="1" applyBorder="1" applyAlignment="1">
      <alignment/>
    </xf>
    <xf numFmtId="0" fontId="29" fillId="6" borderId="0" xfId="0" applyFont="1" applyFill="1" applyBorder="1" applyAlignment="1">
      <alignment/>
    </xf>
    <xf numFmtId="0" fontId="27" fillId="6" borderId="10" xfId="0" applyFont="1" applyFill="1" applyBorder="1" applyAlignment="1">
      <alignment/>
    </xf>
    <xf numFmtId="180" fontId="30" fillId="6" borderId="0" xfId="0" applyNumberFormat="1" applyFont="1" applyFill="1" applyBorder="1" applyAlignment="1">
      <alignment horizontal="center"/>
    </xf>
    <xf numFmtId="183" fontId="28" fillId="6" borderId="0" xfId="0" applyNumberFormat="1" applyFont="1" applyFill="1" applyBorder="1" applyAlignment="1">
      <alignment horizontal="center"/>
    </xf>
    <xf numFmtId="9" fontId="28" fillId="6" borderId="0" xfId="0" applyNumberFormat="1" applyFont="1" applyFill="1" applyBorder="1" applyAlignment="1">
      <alignment horizontal="center"/>
    </xf>
    <xf numFmtId="0" fontId="28" fillId="6" borderId="14" xfId="0" applyFont="1" applyFill="1" applyBorder="1" applyAlignment="1">
      <alignment horizontal="center"/>
    </xf>
    <xf numFmtId="0" fontId="33" fillId="28" borderId="18" xfId="0" applyFont="1" applyFill="1" applyBorder="1" applyAlignment="1">
      <alignment/>
    </xf>
    <xf numFmtId="0" fontId="56" fillId="28" borderId="22" xfId="0" applyFont="1" applyFill="1" applyBorder="1" applyAlignment="1">
      <alignment/>
    </xf>
    <xf numFmtId="180" fontId="56" fillId="28" borderId="18" xfId="0" applyNumberFormat="1" applyFont="1" applyFill="1" applyBorder="1" applyAlignment="1">
      <alignment horizontal="center"/>
    </xf>
    <xf numFmtId="0" fontId="57" fillId="28" borderId="18" xfId="0" applyFont="1" applyFill="1" applyBorder="1" applyAlignment="1">
      <alignment/>
    </xf>
    <xf numFmtId="180" fontId="56" fillId="28" borderId="17" xfId="0" applyNumberFormat="1" applyFont="1" applyFill="1" applyBorder="1" applyAlignment="1">
      <alignment horizontal="center"/>
    </xf>
    <xf numFmtId="1" fontId="56" fillId="28" borderId="17" xfId="0" applyNumberFormat="1" applyFont="1" applyFill="1" applyBorder="1" applyAlignment="1">
      <alignment horizontal="center"/>
    </xf>
    <xf numFmtId="1" fontId="30" fillId="0" borderId="0" xfId="0" applyNumberFormat="1" applyFont="1" applyFill="1" applyBorder="1" applyAlignment="1">
      <alignment/>
    </xf>
    <xf numFmtId="0" fontId="56" fillId="25" borderId="0" xfId="0" applyFont="1" applyFill="1" applyBorder="1" applyAlignment="1">
      <alignment/>
    </xf>
    <xf numFmtId="180" fontId="56" fillId="25" borderId="0" xfId="0" applyNumberFormat="1" applyFont="1" applyFill="1" applyBorder="1" applyAlignment="1">
      <alignment horizontal="center"/>
    </xf>
    <xf numFmtId="0" fontId="57" fillId="25" borderId="0" xfId="0" applyFont="1" applyFill="1" applyBorder="1" applyAlignment="1">
      <alignment/>
    </xf>
    <xf numFmtId="0" fontId="33" fillId="25" borderId="0" xfId="0" applyFont="1" applyFill="1" applyBorder="1" applyAlignment="1">
      <alignment/>
    </xf>
    <xf numFmtId="1" fontId="56" fillId="25" borderId="0" xfId="0" applyNumberFormat="1" applyFont="1" applyFill="1" applyBorder="1" applyAlignment="1">
      <alignment horizontal="center"/>
    </xf>
    <xf numFmtId="0" fontId="50" fillId="25" borderId="0" xfId="0" applyFont="1" applyFill="1" applyBorder="1" applyAlignment="1">
      <alignment/>
    </xf>
    <xf numFmtId="180" fontId="29" fillId="25" borderId="18" xfId="0" applyNumberFormat="1" applyFont="1" applyFill="1" applyBorder="1" applyAlignment="1">
      <alignment/>
    </xf>
    <xf numFmtId="0" fontId="0" fillId="25" borderId="18" xfId="0" applyFill="1" applyBorder="1" applyAlignment="1">
      <alignment/>
    </xf>
    <xf numFmtId="0" fontId="0" fillId="0" borderId="18" xfId="0" applyFill="1" applyBorder="1" applyAlignment="1">
      <alignment/>
    </xf>
    <xf numFmtId="0" fontId="27" fillId="23" borderId="26" xfId="0" applyFont="1" applyFill="1" applyBorder="1" applyAlignment="1">
      <alignment/>
    </xf>
    <xf numFmtId="0" fontId="28" fillId="23" borderId="24" xfId="0" applyFont="1" applyFill="1" applyBorder="1" applyAlignment="1">
      <alignment/>
    </xf>
    <xf numFmtId="0" fontId="0" fillId="23" borderId="24" xfId="0" applyFill="1" applyBorder="1" applyAlignment="1">
      <alignment/>
    </xf>
    <xf numFmtId="0" fontId="27" fillId="23" borderId="24" xfId="0" applyFont="1" applyFill="1" applyBorder="1" applyAlignment="1">
      <alignment/>
    </xf>
    <xf numFmtId="0" fontId="0" fillId="23" borderId="25" xfId="0" applyFill="1" applyBorder="1" applyAlignment="1">
      <alignment/>
    </xf>
    <xf numFmtId="0" fontId="27" fillId="23" borderId="0" xfId="0" applyFont="1" applyFill="1" applyBorder="1" applyAlignment="1">
      <alignment/>
    </xf>
    <xf numFmtId="0" fontId="0" fillId="6" borderId="22" xfId="0" applyFill="1" applyBorder="1" applyAlignment="1">
      <alignment/>
    </xf>
    <xf numFmtId="0" fontId="0" fillId="6" borderId="18" xfId="0" applyFill="1" applyBorder="1" applyAlignment="1">
      <alignment/>
    </xf>
    <xf numFmtId="0" fontId="30" fillId="6" borderId="18" xfId="0" applyFont="1" applyFill="1" applyBorder="1" applyAlignment="1">
      <alignment horizontal="right"/>
    </xf>
    <xf numFmtId="0" fontId="0" fillId="6" borderId="18" xfId="0" applyFill="1" applyBorder="1" applyAlignment="1">
      <alignment horizontal="center"/>
    </xf>
    <xf numFmtId="0" fontId="30" fillId="6" borderId="18" xfId="0" applyFont="1" applyFill="1" applyBorder="1" applyAlignment="1">
      <alignment horizontal="left"/>
    </xf>
    <xf numFmtId="0" fontId="4" fillId="6" borderId="18" xfId="0" applyFont="1" applyFill="1" applyBorder="1" applyAlignment="1">
      <alignment horizontal="center"/>
    </xf>
    <xf numFmtId="2" fontId="30" fillId="6" borderId="23" xfId="0" applyNumberFormat="1" applyFont="1" applyFill="1" applyBorder="1" applyAlignment="1">
      <alignment horizontal="right"/>
    </xf>
    <xf numFmtId="0" fontId="4" fillId="6" borderId="18" xfId="0" applyFont="1" applyFill="1" applyBorder="1" applyAlignment="1">
      <alignment horizontal="right"/>
    </xf>
    <xf numFmtId="0" fontId="27" fillId="23" borderId="12" xfId="0" applyFont="1" applyFill="1" applyBorder="1" applyAlignment="1">
      <alignment/>
    </xf>
    <xf numFmtId="0" fontId="0" fillId="23" borderId="13" xfId="0" applyFill="1" applyBorder="1" applyAlignment="1">
      <alignment/>
    </xf>
    <xf numFmtId="0" fontId="27" fillId="23" borderId="13" xfId="0" applyFont="1" applyFill="1" applyBorder="1" applyAlignment="1">
      <alignment/>
    </xf>
    <xf numFmtId="180" fontId="0" fillId="23" borderId="13" xfId="0" applyNumberFormat="1" applyFill="1" applyBorder="1" applyAlignment="1">
      <alignment/>
    </xf>
    <xf numFmtId="180" fontId="0" fillId="23" borderId="15" xfId="0" applyNumberFormat="1" applyFill="1" applyBorder="1" applyAlignment="1">
      <alignment/>
    </xf>
    <xf numFmtId="0" fontId="27" fillId="23" borderId="16" xfId="0" applyFont="1" applyFill="1" applyBorder="1" applyAlignment="1">
      <alignment/>
    </xf>
    <xf numFmtId="0" fontId="30" fillId="23" borderId="13" xfId="0" applyFont="1" applyFill="1" applyBorder="1" applyAlignment="1">
      <alignment horizontal="left"/>
    </xf>
    <xf numFmtId="0" fontId="28" fillId="23" borderId="13" xfId="0" applyFont="1" applyFill="1" applyBorder="1" applyAlignment="1">
      <alignment/>
    </xf>
    <xf numFmtId="180" fontId="28" fillId="23" borderId="13" xfId="0" applyNumberFormat="1" applyFont="1" applyFill="1" applyBorder="1" applyAlignment="1">
      <alignment/>
    </xf>
    <xf numFmtId="2" fontId="30" fillId="23" borderId="15" xfId="0" applyNumberFormat="1" applyFont="1" applyFill="1" applyBorder="1" applyAlignment="1">
      <alignment horizontal="right"/>
    </xf>
    <xf numFmtId="0" fontId="27" fillId="23" borderId="10" xfId="0" applyFont="1" applyFill="1" applyBorder="1" applyAlignment="1">
      <alignment/>
    </xf>
    <xf numFmtId="0" fontId="0" fillId="23" borderId="0" xfId="0" applyFill="1" applyBorder="1" applyAlignment="1">
      <alignment/>
    </xf>
    <xf numFmtId="0" fontId="28" fillId="23" borderId="0" xfId="0" applyFont="1" applyFill="1" applyBorder="1" applyAlignment="1">
      <alignment/>
    </xf>
    <xf numFmtId="0" fontId="28" fillId="23" borderId="11" xfId="0" applyFont="1" applyFill="1" applyBorder="1" applyAlignment="1">
      <alignment/>
    </xf>
    <xf numFmtId="0" fontId="0" fillId="23" borderId="15" xfId="0" applyFill="1" applyBorder="1" applyAlignment="1">
      <alignment/>
    </xf>
    <xf numFmtId="2" fontId="4" fillId="23" borderId="13" xfId="0" applyNumberFormat="1" applyFont="1" applyFill="1" applyBorder="1" applyAlignment="1">
      <alignment horizontal="center"/>
    </xf>
    <xf numFmtId="0" fontId="4" fillId="23" borderId="13" xfId="0" applyFont="1" applyFill="1" applyBorder="1" applyAlignment="1">
      <alignment horizontal="left"/>
    </xf>
    <xf numFmtId="0" fontId="0" fillId="23" borderId="12" xfId="0" applyFill="1" applyBorder="1" applyAlignment="1">
      <alignment/>
    </xf>
    <xf numFmtId="0" fontId="4" fillId="23" borderId="15" xfId="0" applyFont="1" applyFill="1" applyBorder="1" applyAlignment="1">
      <alignment horizontal="right"/>
    </xf>
    <xf numFmtId="0" fontId="28" fillId="6" borderId="18" xfId="0" applyFont="1" applyFill="1" applyBorder="1" applyAlignment="1">
      <alignment/>
    </xf>
    <xf numFmtId="0" fontId="30" fillId="6" borderId="0" xfId="0" applyFont="1" applyFill="1" applyBorder="1" applyAlignment="1">
      <alignment horizontal="left"/>
    </xf>
    <xf numFmtId="0" fontId="30" fillId="6" borderId="0" xfId="0" applyFont="1" applyFill="1" applyBorder="1" applyAlignment="1">
      <alignment horizontal="right"/>
    </xf>
    <xf numFmtId="2" fontId="30" fillId="6" borderId="11" xfId="0" applyNumberFormat="1" applyFont="1" applyFill="1" applyBorder="1" applyAlignment="1" quotePrefix="1">
      <alignment horizontal="right"/>
    </xf>
    <xf numFmtId="0" fontId="4" fillId="6" borderId="10" xfId="0" applyFont="1" applyFill="1" applyBorder="1" applyAlignment="1">
      <alignment horizontal="right"/>
    </xf>
    <xf numFmtId="2" fontId="4" fillId="6" borderId="0" xfId="0" applyNumberFormat="1" applyFont="1" applyFill="1" applyBorder="1" applyAlignment="1">
      <alignment horizontal="center"/>
    </xf>
    <xf numFmtId="0" fontId="4" fillId="6" borderId="0" xfId="0" applyFont="1" applyFill="1" applyBorder="1" applyAlignment="1">
      <alignment horizontal="left"/>
    </xf>
    <xf numFmtId="2" fontId="30" fillId="6" borderId="11" xfId="0" applyNumberFormat="1" applyFont="1" applyFill="1" applyBorder="1" applyAlignment="1">
      <alignment/>
    </xf>
    <xf numFmtId="0" fontId="0" fillId="6" borderId="0" xfId="0" applyFont="1" applyFill="1" applyBorder="1" applyAlignment="1">
      <alignment/>
    </xf>
    <xf numFmtId="0" fontId="30" fillId="6" borderId="18" xfId="0" applyFont="1" applyFill="1" applyBorder="1" applyAlignment="1">
      <alignment/>
    </xf>
    <xf numFmtId="0" fontId="28" fillId="6" borderId="18" xfId="0" applyFont="1" applyFill="1" applyBorder="1" applyAlignment="1">
      <alignment/>
    </xf>
    <xf numFmtId="183" fontId="30" fillId="6" borderId="23" xfId="89" applyNumberFormat="1" applyFont="1" applyFill="1" applyBorder="1" applyAlignment="1">
      <alignment horizontal="center"/>
    </xf>
    <xf numFmtId="0" fontId="58" fillId="6" borderId="10" xfId="0" applyFont="1" applyFill="1" applyBorder="1" applyAlignment="1">
      <alignment/>
    </xf>
    <xf numFmtId="0" fontId="58" fillId="6" borderId="0" xfId="0" applyFont="1" applyFill="1" applyBorder="1" applyAlignment="1">
      <alignment/>
    </xf>
    <xf numFmtId="0" fontId="59" fillId="6" borderId="0" xfId="0" applyFont="1" applyFill="1" applyBorder="1" applyAlignment="1">
      <alignment horizontal="left"/>
    </xf>
    <xf numFmtId="0" fontId="59" fillId="6" borderId="10" xfId="0" applyFont="1" applyFill="1" applyBorder="1" applyAlignment="1">
      <alignment horizontal="right"/>
    </xf>
    <xf numFmtId="2" fontId="59" fillId="6" borderId="0" xfId="0" applyNumberFormat="1" applyFont="1" applyFill="1" applyBorder="1" applyAlignment="1">
      <alignment horizontal="center"/>
    </xf>
    <xf numFmtId="0" fontId="58" fillId="6" borderId="22" xfId="0" applyFont="1" applyFill="1" applyBorder="1" applyAlignment="1">
      <alignment/>
    </xf>
    <xf numFmtId="0" fontId="58" fillId="6" borderId="18" xfId="0" applyFont="1" applyFill="1" applyBorder="1" applyAlignment="1">
      <alignment/>
    </xf>
    <xf numFmtId="181" fontId="59" fillId="0" borderId="0" xfId="65" applyNumberFormat="1" applyFont="1" applyFill="1" applyBorder="1" applyAlignment="1">
      <alignment/>
    </xf>
    <xf numFmtId="183" fontId="59" fillId="0" borderId="0" xfId="0" applyNumberFormat="1" applyFont="1" applyFill="1" applyBorder="1" applyAlignment="1">
      <alignment/>
    </xf>
    <xf numFmtId="181" fontId="59" fillId="0" borderId="0" xfId="0" applyNumberFormat="1" applyFont="1" applyFill="1" applyBorder="1" applyAlignment="1">
      <alignment/>
    </xf>
    <xf numFmtId="180" fontId="59" fillId="0" borderId="0" xfId="0" applyNumberFormat="1" applyFont="1" applyFill="1" applyBorder="1" applyAlignment="1">
      <alignment/>
    </xf>
    <xf numFmtId="1" fontId="59" fillId="0" borderId="0" xfId="0" applyNumberFormat="1" applyFont="1" applyFill="1" applyBorder="1" applyAlignment="1">
      <alignment/>
    </xf>
    <xf numFmtId="2" fontId="59" fillId="0" borderId="0" xfId="0" applyNumberFormat="1" applyFont="1" applyFill="1" applyBorder="1" applyAlignment="1">
      <alignment/>
    </xf>
    <xf numFmtId="182" fontId="59" fillId="0" borderId="0" xfId="0" applyNumberFormat="1" applyFont="1" applyFill="1" applyBorder="1" applyAlignment="1">
      <alignment/>
    </xf>
    <xf numFmtId="0" fontId="59" fillId="0" borderId="0" xfId="0" applyFont="1" applyFill="1" applyBorder="1" applyAlignment="1">
      <alignment/>
    </xf>
    <xf numFmtId="0" fontId="59" fillId="0" borderId="0" xfId="0" applyFont="1" applyFill="1" applyBorder="1" applyAlignment="1">
      <alignment horizontal="right"/>
    </xf>
    <xf numFmtId="0" fontId="59" fillId="0" borderId="0" xfId="0" applyFont="1" applyFill="1" applyBorder="1" applyAlignment="1">
      <alignment/>
    </xf>
    <xf numFmtId="0" fontId="59" fillId="0" borderId="0" xfId="0" applyFont="1" applyFill="1" applyBorder="1" applyAlignment="1">
      <alignment horizontal="right"/>
    </xf>
    <xf numFmtId="182" fontId="59" fillId="0" borderId="0" xfId="0" applyNumberFormat="1" applyFont="1" applyFill="1" applyBorder="1" applyAlignment="1">
      <alignment/>
    </xf>
    <xf numFmtId="182" fontId="59" fillId="25" borderId="0" xfId="0" applyNumberFormat="1" applyFont="1" applyFill="1" applyBorder="1" applyAlignment="1">
      <alignment/>
    </xf>
    <xf numFmtId="0" fontId="59" fillId="25" borderId="0" xfId="0" applyFont="1" applyFill="1" applyBorder="1" applyAlignment="1">
      <alignment/>
    </xf>
    <xf numFmtId="0" fontId="30" fillId="6" borderId="0" xfId="0" applyFont="1" applyFill="1" applyBorder="1" applyAlignment="1">
      <alignment horizontal="left"/>
    </xf>
    <xf numFmtId="0" fontId="30" fillId="6" borderId="0" xfId="0" applyFont="1" applyFill="1" applyBorder="1" applyAlignment="1">
      <alignment horizontal="right"/>
    </xf>
    <xf numFmtId="0" fontId="28" fillId="6" borderId="0" xfId="0" applyFont="1" applyFill="1" applyBorder="1" applyAlignment="1">
      <alignment/>
    </xf>
    <xf numFmtId="2" fontId="30" fillId="6" borderId="11" xfId="0" applyNumberFormat="1" applyFont="1" applyFill="1" applyBorder="1" applyAlignment="1" quotePrefix="1">
      <alignment horizontal="right"/>
    </xf>
    <xf numFmtId="2" fontId="30" fillId="6" borderId="11" xfId="0" applyNumberFormat="1" applyFont="1" applyFill="1" applyBorder="1" applyAlignment="1">
      <alignment/>
    </xf>
    <xf numFmtId="0" fontId="28" fillId="6" borderId="11" xfId="0" applyFont="1" applyFill="1" applyBorder="1" applyAlignment="1">
      <alignment/>
    </xf>
    <xf numFmtId="0" fontId="30" fillId="6" borderId="18" xfId="0" applyFont="1" applyFill="1" applyBorder="1" applyAlignment="1">
      <alignment/>
    </xf>
    <xf numFmtId="2" fontId="56" fillId="25" borderId="0" xfId="0" applyNumberFormat="1" applyFont="1" applyFill="1" applyBorder="1" applyAlignment="1">
      <alignment horizontal="center"/>
    </xf>
    <xf numFmtId="181" fontId="59" fillId="25" borderId="0" xfId="65" applyNumberFormat="1" applyFont="1" applyFill="1" applyBorder="1" applyAlignment="1">
      <alignment/>
    </xf>
    <xf numFmtId="181" fontId="59" fillId="25" borderId="0" xfId="0" applyNumberFormat="1" applyFont="1" applyFill="1" applyBorder="1" applyAlignment="1">
      <alignment/>
    </xf>
    <xf numFmtId="180" fontId="59" fillId="25" borderId="0" xfId="0" applyNumberFormat="1" applyFont="1" applyFill="1" applyBorder="1" applyAlignment="1">
      <alignment/>
    </xf>
    <xf numFmtId="0" fontId="58" fillId="6" borderId="18" xfId="0" applyFont="1" applyFill="1" applyBorder="1" applyAlignment="1">
      <alignment/>
    </xf>
    <xf numFmtId="0" fontId="29" fillId="25" borderId="0" xfId="0" applyFont="1" applyFill="1" applyBorder="1" applyAlignment="1">
      <alignment/>
    </xf>
    <xf numFmtId="180" fontId="29" fillId="25" borderId="0" xfId="0" applyNumberFormat="1" applyFont="1" applyFill="1" applyBorder="1" applyAlignment="1">
      <alignment horizontal="center"/>
    </xf>
    <xf numFmtId="1" fontId="29" fillId="25" borderId="0" xfId="0" applyNumberFormat="1" applyFont="1" applyFill="1" applyBorder="1" applyAlignment="1">
      <alignment horizontal="center"/>
    </xf>
    <xf numFmtId="2" fontId="29" fillId="25" borderId="0" xfId="0" applyNumberFormat="1" applyFont="1" applyFill="1" applyBorder="1" applyAlignment="1">
      <alignment horizontal="center"/>
    </xf>
    <xf numFmtId="0" fontId="0" fillId="0" borderId="18" xfId="0" applyBorder="1" applyAlignment="1">
      <alignment/>
    </xf>
    <xf numFmtId="0" fontId="30" fillId="23" borderId="0" xfId="0" applyFont="1" applyFill="1" applyBorder="1" applyAlignment="1">
      <alignment horizontal="left"/>
    </xf>
    <xf numFmtId="180" fontId="59" fillId="25" borderId="0" xfId="0" applyNumberFormat="1" applyFont="1" applyFill="1" applyBorder="1" applyAlignment="1">
      <alignment horizontal="center"/>
    </xf>
    <xf numFmtId="181" fontId="59" fillId="0" borderId="0" xfId="65" applyNumberFormat="1" applyFont="1" applyFill="1" applyBorder="1" applyAlignment="1">
      <alignment/>
    </xf>
    <xf numFmtId="183" fontId="59" fillId="0" borderId="0" xfId="0" applyNumberFormat="1" applyFont="1" applyFill="1" applyBorder="1" applyAlignment="1">
      <alignment/>
    </xf>
    <xf numFmtId="181" fontId="59" fillId="0" borderId="0" xfId="0" applyNumberFormat="1" applyFont="1" applyFill="1" applyBorder="1" applyAlignment="1">
      <alignment horizontal="left" indent="2"/>
    </xf>
    <xf numFmtId="181" fontId="59" fillId="0" borderId="0" xfId="0" applyNumberFormat="1" applyFont="1" applyFill="1" applyBorder="1" applyAlignment="1">
      <alignment/>
    </xf>
    <xf numFmtId="180" fontId="59" fillId="0" borderId="0" xfId="0" applyNumberFormat="1" applyFont="1" applyFill="1" applyBorder="1" applyAlignment="1">
      <alignment/>
    </xf>
    <xf numFmtId="1" fontId="59" fillId="0" borderId="0" xfId="0" applyNumberFormat="1" applyFont="1" applyFill="1" applyBorder="1" applyAlignment="1">
      <alignment/>
    </xf>
    <xf numFmtId="2" fontId="59" fillId="0" borderId="0" xfId="0" applyNumberFormat="1" applyFont="1" applyFill="1" applyBorder="1" applyAlignment="1">
      <alignment/>
    </xf>
    <xf numFmtId="185" fontId="59" fillId="0" borderId="0" xfId="0" applyNumberFormat="1" applyFont="1" applyFill="1" applyBorder="1" applyAlignment="1">
      <alignment/>
    </xf>
    <xf numFmtId="184" fontId="59" fillId="0" borderId="0" xfId="0" applyNumberFormat="1" applyFont="1" applyFill="1" applyBorder="1" applyAlignment="1">
      <alignment/>
    </xf>
    <xf numFmtId="192" fontId="59" fillId="0" borderId="0" xfId="0" applyNumberFormat="1" applyFont="1" applyFill="1" applyBorder="1" applyAlignment="1">
      <alignment/>
    </xf>
    <xf numFmtId="0" fontId="59" fillId="20" borderId="0" xfId="0" applyFont="1" applyFill="1" applyBorder="1" applyAlignment="1">
      <alignment/>
    </xf>
    <xf numFmtId="0" fontId="59" fillId="6" borderId="18" xfId="0" applyFont="1" applyFill="1" applyBorder="1" applyAlignment="1">
      <alignment/>
    </xf>
    <xf numFmtId="0" fontId="0" fillId="6" borderId="0" xfId="0" applyFill="1" applyAlignment="1">
      <alignment/>
    </xf>
    <xf numFmtId="1" fontId="30" fillId="6" borderId="14" xfId="0" applyNumberFormat="1" applyFont="1" applyFill="1" applyBorder="1" applyAlignment="1">
      <alignment horizontal="center"/>
    </xf>
    <xf numFmtId="186" fontId="0" fillId="20" borderId="0" xfId="0" applyNumberFormat="1" applyFill="1" applyBorder="1" applyAlignment="1">
      <alignment/>
    </xf>
    <xf numFmtId="2" fontId="58" fillId="20" borderId="0" xfId="0" applyNumberFormat="1" applyFont="1" applyFill="1" applyBorder="1" applyAlignment="1">
      <alignment horizontal="right"/>
    </xf>
    <xf numFmtId="181" fontId="59" fillId="0" borderId="0" xfId="0" applyNumberFormat="1" applyFont="1" applyFill="1" applyBorder="1" applyAlignment="1">
      <alignment horizontal="left" indent="2"/>
    </xf>
    <xf numFmtId="181" fontId="59" fillId="20" borderId="0" xfId="0" applyNumberFormat="1" applyFont="1" applyFill="1" applyBorder="1" applyAlignment="1">
      <alignment/>
    </xf>
    <xf numFmtId="180" fontId="59" fillId="20" borderId="0" xfId="0" applyNumberFormat="1" applyFont="1" applyFill="1" applyBorder="1" applyAlignment="1">
      <alignment/>
    </xf>
    <xf numFmtId="0" fontId="59" fillId="20" borderId="0" xfId="0" applyFont="1" applyFill="1" applyBorder="1" applyAlignment="1">
      <alignment/>
    </xf>
    <xf numFmtId="182" fontId="59" fillId="20" borderId="0" xfId="0" applyNumberFormat="1" applyFont="1" applyFill="1" applyBorder="1" applyAlignment="1">
      <alignment/>
    </xf>
    <xf numFmtId="0" fontId="58" fillId="20" borderId="0" xfId="0" applyFont="1" applyFill="1" applyBorder="1" applyAlignment="1">
      <alignment/>
    </xf>
    <xf numFmtId="185" fontId="59" fillId="0" borderId="0" xfId="0" applyNumberFormat="1" applyFont="1" applyFill="1" applyBorder="1" applyAlignment="1">
      <alignment/>
    </xf>
    <xf numFmtId="0" fontId="58" fillId="25" borderId="0" xfId="0" applyFont="1" applyFill="1" applyAlignment="1">
      <alignment/>
    </xf>
    <xf numFmtId="184" fontId="59" fillId="0" borderId="0" xfId="0" applyNumberFormat="1" applyFont="1" applyFill="1" applyBorder="1" applyAlignment="1">
      <alignment/>
    </xf>
    <xf numFmtId="2" fontId="59" fillId="20" borderId="0" xfId="0" applyNumberFormat="1" applyFont="1" applyFill="1" applyBorder="1" applyAlignment="1">
      <alignment/>
    </xf>
    <xf numFmtId="182" fontId="59" fillId="25" borderId="0" xfId="0" applyNumberFormat="1" applyFont="1" applyFill="1" applyBorder="1" applyAlignment="1">
      <alignment/>
    </xf>
    <xf numFmtId="0" fontId="59" fillId="25" borderId="0" xfId="0" applyFont="1" applyFill="1" applyBorder="1" applyAlignment="1">
      <alignment/>
    </xf>
    <xf numFmtId="0" fontId="59" fillId="23" borderId="13" xfId="0" applyFont="1" applyFill="1" applyBorder="1" applyAlignment="1">
      <alignment horizontal="left"/>
    </xf>
    <xf numFmtId="0" fontId="59" fillId="20" borderId="0" xfId="0" applyFont="1" applyFill="1" applyBorder="1" applyAlignment="1">
      <alignment horizontal="left"/>
    </xf>
    <xf numFmtId="0" fontId="0" fillId="20" borderId="18" xfId="0" applyFill="1" applyBorder="1" applyAlignment="1">
      <alignment/>
    </xf>
    <xf numFmtId="0" fontId="60" fillId="23" borderId="0" xfId="0" applyFont="1" applyFill="1" applyBorder="1" applyAlignment="1">
      <alignment horizontal="center"/>
    </xf>
    <xf numFmtId="0" fontId="60" fillId="23" borderId="14" xfId="0" applyFont="1" applyFill="1" applyBorder="1" applyAlignment="1">
      <alignment horizontal="center"/>
    </xf>
    <xf numFmtId="0" fontId="36" fillId="0" borderId="0" xfId="0" applyFont="1" applyBorder="1" applyAlignment="1">
      <alignment/>
    </xf>
    <xf numFmtId="0" fontId="36" fillId="0" borderId="27" xfId="0" applyFont="1" applyBorder="1" applyAlignment="1">
      <alignment/>
    </xf>
    <xf numFmtId="2" fontId="36" fillId="29" borderId="27" xfId="0" applyNumberFormat="1" applyFont="1" applyFill="1" applyBorder="1" applyAlignment="1">
      <alignment horizontal="center"/>
    </xf>
    <xf numFmtId="0" fontId="36" fillId="0" borderId="27" xfId="0" applyFont="1" applyBorder="1" applyAlignment="1">
      <alignment horizontal="center"/>
    </xf>
    <xf numFmtId="0" fontId="36" fillId="29" borderId="27" xfId="0" applyFont="1" applyFill="1" applyBorder="1" applyAlignment="1">
      <alignment horizontal="center"/>
    </xf>
    <xf numFmtId="0" fontId="40" fillId="0" borderId="27" xfId="0" applyFont="1" applyFill="1" applyBorder="1" applyAlignment="1">
      <alignment horizontal="center"/>
    </xf>
    <xf numFmtId="2" fontId="36" fillId="30" borderId="27" xfId="0" applyNumberFormat="1" applyFont="1" applyFill="1" applyBorder="1" applyAlignment="1">
      <alignment horizontal="center"/>
    </xf>
    <xf numFmtId="0" fontId="36" fillId="0" borderId="27" xfId="0" applyFont="1" applyFill="1" applyBorder="1" applyAlignment="1">
      <alignment horizontal="center"/>
    </xf>
    <xf numFmtId="0" fontId="63" fillId="0" borderId="0" xfId="0" applyFont="1" applyAlignment="1">
      <alignment/>
    </xf>
    <xf numFmtId="0" fontId="36" fillId="0" borderId="28" xfId="0" applyFont="1" applyBorder="1" applyAlignment="1">
      <alignment/>
    </xf>
    <xf numFmtId="0" fontId="36" fillId="0" borderId="28" xfId="0" applyFont="1" applyBorder="1" applyAlignment="1">
      <alignment horizontal="center"/>
    </xf>
    <xf numFmtId="0" fontId="40" fillId="0" borderId="28" xfId="0" applyFont="1" applyFill="1" applyBorder="1" applyAlignment="1">
      <alignment horizontal="center"/>
    </xf>
    <xf numFmtId="0" fontId="36" fillId="0" borderId="29" xfId="0" applyFont="1" applyBorder="1" applyAlignment="1">
      <alignment/>
    </xf>
    <xf numFmtId="0" fontId="63" fillId="23" borderId="18" xfId="0" applyFont="1" applyFill="1" applyBorder="1" applyAlignment="1">
      <alignment horizontal="center"/>
    </xf>
    <xf numFmtId="0" fontId="60" fillId="23" borderId="11" xfId="0" applyFont="1" applyFill="1" applyBorder="1" applyAlignment="1">
      <alignment horizontal="center"/>
    </xf>
    <xf numFmtId="0" fontId="63" fillId="23" borderId="17" xfId="0" applyFont="1" applyFill="1" applyBorder="1" applyAlignment="1">
      <alignment horizontal="center"/>
    </xf>
    <xf numFmtId="0" fontId="60" fillId="23" borderId="30" xfId="0" applyFont="1" applyFill="1" applyBorder="1" applyAlignment="1">
      <alignment horizontal="center"/>
    </xf>
    <xf numFmtId="0" fontId="63" fillId="23" borderId="31" xfId="0" applyFont="1" applyFill="1" applyBorder="1" applyAlignment="1">
      <alignment horizontal="center"/>
    </xf>
    <xf numFmtId="0" fontId="36" fillId="0" borderId="32" xfId="0" applyFont="1" applyBorder="1" applyAlignment="1">
      <alignment/>
    </xf>
    <xf numFmtId="0" fontId="36" fillId="0" borderId="33" xfId="0" applyFont="1" applyBorder="1" applyAlignment="1">
      <alignment/>
    </xf>
    <xf numFmtId="2" fontId="36" fillId="29" borderId="28" xfId="0" applyNumberFormat="1" applyFont="1" applyFill="1" applyBorder="1" applyAlignment="1">
      <alignment horizontal="center"/>
    </xf>
    <xf numFmtId="2" fontId="36" fillId="30" borderId="28" xfId="0" applyNumberFormat="1" applyFont="1" applyFill="1" applyBorder="1" applyAlignment="1">
      <alignment horizontal="center"/>
    </xf>
    <xf numFmtId="0" fontId="36" fillId="0" borderId="34" xfId="0" applyFont="1" applyBorder="1" applyAlignment="1">
      <alignment/>
    </xf>
    <xf numFmtId="0" fontId="36" fillId="0" borderId="20" xfId="0" applyFont="1" applyBorder="1" applyAlignment="1">
      <alignment/>
    </xf>
    <xf numFmtId="0" fontId="36" fillId="0" borderId="35" xfId="0" applyFont="1" applyBorder="1" applyAlignment="1">
      <alignment horizontal="center"/>
    </xf>
    <xf numFmtId="0" fontId="36" fillId="0" borderId="36" xfId="0" applyFont="1" applyBorder="1" applyAlignment="1">
      <alignment horizontal="center"/>
    </xf>
    <xf numFmtId="0" fontId="40" fillId="0" borderId="37" xfId="0" applyFont="1" applyFill="1" applyBorder="1" applyAlignment="1">
      <alignment horizontal="center"/>
    </xf>
    <xf numFmtId="0" fontId="37" fillId="0" borderId="38" xfId="0" applyFont="1" applyBorder="1" applyAlignment="1">
      <alignment/>
    </xf>
    <xf numFmtId="0" fontId="36" fillId="0" borderId="39" xfId="0" applyFont="1" applyBorder="1" applyAlignment="1">
      <alignment/>
    </xf>
    <xf numFmtId="0" fontId="40" fillId="0" borderId="39" xfId="0" applyFont="1" applyFill="1" applyBorder="1" applyAlignment="1">
      <alignment horizontal="center"/>
    </xf>
    <xf numFmtId="0" fontId="36" fillId="0" borderId="40" xfId="0" applyFont="1" applyBorder="1" applyAlignment="1">
      <alignment/>
    </xf>
    <xf numFmtId="0" fontId="36" fillId="0" borderId="41" xfId="0" applyFont="1" applyBorder="1" applyAlignment="1">
      <alignment/>
    </xf>
    <xf numFmtId="0" fontId="36" fillId="0" borderId="42" xfId="0" applyFont="1" applyBorder="1" applyAlignment="1">
      <alignment/>
    </xf>
    <xf numFmtId="0" fontId="36" fillId="0" borderId="43" xfId="0" applyFont="1" applyBorder="1" applyAlignment="1">
      <alignment horizontal="center"/>
    </xf>
    <xf numFmtId="0" fontId="40" fillId="0" borderId="44" xfId="0" applyFont="1" applyFill="1" applyBorder="1" applyAlignment="1">
      <alignment horizontal="center"/>
    </xf>
    <xf numFmtId="0" fontId="40" fillId="0" borderId="40" xfId="0" applyFont="1" applyFill="1" applyBorder="1" applyAlignment="1">
      <alignment horizontal="center"/>
    </xf>
    <xf numFmtId="0" fontId="63" fillId="23" borderId="45" xfId="0" applyFont="1" applyFill="1" applyBorder="1" applyAlignment="1">
      <alignment horizontal="center"/>
    </xf>
    <xf numFmtId="0" fontId="36" fillId="0" borderId="42" xfId="0" applyFont="1" applyBorder="1" applyAlignment="1">
      <alignment horizontal="center"/>
    </xf>
    <xf numFmtId="0" fontId="40" fillId="0" borderId="46" xfId="0" applyFont="1" applyFill="1" applyBorder="1" applyAlignment="1">
      <alignment horizontal="center"/>
    </xf>
    <xf numFmtId="0" fontId="40" fillId="0" borderId="41" xfId="0" applyFont="1" applyFill="1" applyBorder="1" applyAlignment="1">
      <alignment horizontal="center"/>
    </xf>
    <xf numFmtId="0" fontId="36" fillId="0" borderId="30" xfId="0" applyFont="1" applyBorder="1" applyAlignment="1">
      <alignment/>
    </xf>
    <xf numFmtId="0" fontId="36" fillId="0" borderId="47" xfId="0" applyFont="1" applyFill="1" applyBorder="1" applyAlignment="1">
      <alignment/>
    </xf>
    <xf numFmtId="182" fontId="36" fillId="0" borderId="48" xfId="0" applyNumberFormat="1" applyFont="1" applyFill="1" applyBorder="1" applyAlignment="1">
      <alignment horizontal="left"/>
    </xf>
    <xf numFmtId="0" fontId="36" fillId="0" borderId="49" xfId="0" applyFont="1" applyBorder="1" applyAlignment="1">
      <alignment/>
    </xf>
    <xf numFmtId="0" fontId="60" fillId="23" borderId="50" xfId="0" applyFont="1" applyFill="1" applyBorder="1" applyAlignment="1">
      <alignment horizontal="center"/>
    </xf>
    <xf numFmtId="0" fontId="63" fillId="23" borderId="30" xfId="0" applyFont="1" applyFill="1" applyBorder="1" applyAlignment="1">
      <alignment horizontal="right"/>
    </xf>
    <xf numFmtId="0" fontId="63" fillId="23" borderId="18" xfId="0" applyFont="1" applyFill="1" applyBorder="1" applyAlignment="1">
      <alignment horizontal="right"/>
    </xf>
    <xf numFmtId="0" fontId="63" fillId="23" borderId="51" xfId="0" applyFont="1" applyFill="1" applyBorder="1" applyAlignment="1">
      <alignment horizontal="center"/>
    </xf>
    <xf numFmtId="0" fontId="36" fillId="0" borderId="46" xfId="0" applyFont="1" applyBorder="1" applyAlignment="1">
      <alignment horizontal="center"/>
    </xf>
    <xf numFmtId="0" fontId="60" fillId="23" borderId="0" xfId="0" applyFont="1" applyFill="1" applyBorder="1" applyAlignment="1">
      <alignment/>
    </xf>
    <xf numFmtId="0" fontId="62" fillId="23" borderId="18" xfId="0" applyFont="1" applyFill="1" applyBorder="1" applyAlignment="1">
      <alignment/>
    </xf>
    <xf numFmtId="0" fontId="37" fillId="0" borderId="20" xfId="0" applyFont="1" applyBorder="1" applyAlignment="1">
      <alignment/>
    </xf>
    <xf numFmtId="0" fontId="61" fillId="23" borderId="20" xfId="0" applyFont="1" applyFill="1" applyBorder="1" applyAlignment="1">
      <alignment/>
    </xf>
    <xf numFmtId="0" fontId="61" fillId="23" borderId="42" xfId="0" applyFont="1" applyFill="1" applyBorder="1" applyAlignment="1">
      <alignment/>
    </xf>
    <xf numFmtId="0" fontId="60" fillId="23" borderId="20" xfId="0" applyFont="1" applyFill="1" applyBorder="1" applyAlignment="1">
      <alignment horizontal="center"/>
    </xf>
    <xf numFmtId="0" fontId="60" fillId="23" borderId="52" xfId="0" applyFont="1" applyFill="1" applyBorder="1" applyAlignment="1">
      <alignment horizontal="center"/>
    </xf>
    <xf numFmtId="0" fontId="60" fillId="23" borderId="53" xfId="0" applyFont="1" applyFill="1" applyBorder="1" applyAlignment="1">
      <alignment horizontal="center"/>
    </xf>
    <xf numFmtId="0" fontId="60" fillId="23" borderId="54" xfId="0" applyFont="1" applyFill="1" applyBorder="1" applyAlignment="1">
      <alignment horizontal="center"/>
    </xf>
    <xf numFmtId="0" fontId="61" fillId="23" borderId="48" xfId="0" applyFont="1" applyFill="1" applyBorder="1" applyAlignment="1">
      <alignment/>
    </xf>
    <xf numFmtId="0" fontId="63" fillId="23" borderId="55" xfId="0" applyFont="1" applyFill="1" applyBorder="1" applyAlignment="1">
      <alignment horizontal="center"/>
    </xf>
    <xf numFmtId="0" fontId="63" fillId="23" borderId="50" xfId="0" applyFont="1" applyFill="1" applyBorder="1" applyAlignment="1">
      <alignment/>
    </xf>
    <xf numFmtId="0" fontId="61" fillId="23" borderId="30" xfId="0" applyFont="1" applyFill="1" applyBorder="1" applyAlignment="1">
      <alignment horizontal="right"/>
    </xf>
    <xf numFmtId="0" fontId="63" fillId="23" borderId="31" xfId="0" applyFont="1" applyFill="1" applyBorder="1" applyAlignment="1">
      <alignment horizontal="right"/>
    </xf>
    <xf numFmtId="0" fontId="36" fillId="0" borderId="56" xfId="0" applyFont="1" applyBorder="1" applyAlignment="1">
      <alignment/>
    </xf>
    <xf numFmtId="0" fontId="41" fillId="0" borderId="0" xfId="0" applyFont="1" applyBorder="1" applyAlignment="1">
      <alignment/>
    </xf>
    <xf numFmtId="0" fontId="65" fillId="23" borderId="21" xfId="0" applyFont="1" applyFill="1" applyBorder="1" applyAlignment="1">
      <alignment/>
    </xf>
    <xf numFmtId="0" fontId="62" fillId="23" borderId="21" xfId="0" applyFont="1" applyFill="1" applyBorder="1" applyAlignment="1">
      <alignment/>
    </xf>
    <xf numFmtId="0" fontId="63" fillId="23" borderId="30" xfId="0" applyFont="1" applyFill="1" applyBorder="1" applyAlignment="1">
      <alignment/>
    </xf>
    <xf numFmtId="0" fontId="40" fillId="0" borderId="57" xfId="0" applyFont="1" applyBorder="1" applyAlignment="1">
      <alignment/>
    </xf>
    <xf numFmtId="0" fontId="38" fillId="0" borderId="57" xfId="0" applyFont="1" applyBorder="1" applyAlignment="1">
      <alignment/>
    </xf>
    <xf numFmtId="0" fontId="37" fillId="0" borderId="57" xfId="0" applyFont="1" applyBorder="1" applyAlignment="1">
      <alignment/>
    </xf>
    <xf numFmtId="0" fontId="40" fillId="0" borderId="57" xfId="0" applyFont="1" applyBorder="1" applyAlignment="1">
      <alignment/>
    </xf>
    <xf numFmtId="0" fontId="37" fillId="0" borderId="58" xfId="0" applyFont="1" applyBorder="1" applyAlignment="1">
      <alignment/>
    </xf>
    <xf numFmtId="0" fontId="36" fillId="0" borderId="59" xfId="0" applyFont="1" applyBorder="1" applyAlignment="1">
      <alignment/>
    </xf>
    <xf numFmtId="0" fontId="36" fillId="0" borderId="60" xfId="0" applyFont="1" applyBorder="1" applyAlignment="1">
      <alignment/>
    </xf>
    <xf numFmtId="0" fontId="40" fillId="0" borderId="59" xfId="0" applyFont="1" applyFill="1" applyBorder="1" applyAlignment="1">
      <alignment horizontal="center"/>
    </xf>
    <xf numFmtId="0" fontId="40" fillId="0" borderId="60" xfId="0" applyFont="1" applyFill="1" applyBorder="1" applyAlignment="1">
      <alignment horizontal="center"/>
    </xf>
    <xf numFmtId="0" fontId="36" fillId="0" borderId="61" xfId="0" applyFont="1" applyBorder="1" applyAlignment="1">
      <alignment/>
    </xf>
    <xf numFmtId="0" fontId="36" fillId="0" borderId="62" xfId="0" applyFont="1" applyBorder="1" applyAlignment="1">
      <alignment/>
    </xf>
    <xf numFmtId="0" fontId="36" fillId="0" borderId="62" xfId="0" applyFont="1" applyFill="1" applyBorder="1" applyAlignment="1">
      <alignment/>
    </xf>
    <xf numFmtId="0" fontId="36" fillId="0" borderId="63" xfId="0" applyFont="1" applyBorder="1" applyAlignment="1">
      <alignment/>
    </xf>
    <xf numFmtId="0" fontId="36" fillId="25" borderId="62" xfId="0" applyFont="1" applyFill="1" applyBorder="1" applyAlignment="1">
      <alignment/>
    </xf>
    <xf numFmtId="0" fontId="61" fillId="23" borderId="19" xfId="0" applyFont="1" applyFill="1" applyBorder="1" applyAlignment="1">
      <alignment/>
    </xf>
    <xf numFmtId="0" fontId="36" fillId="0" borderId="64" xfId="0" applyFont="1" applyBorder="1" applyAlignment="1">
      <alignment/>
    </xf>
    <xf numFmtId="0" fontId="36" fillId="0" borderId="57" xfId="0" applyFont="1" applyBorder="1" applyAlignment="1">
      <alignment/>
    </xf>
    <xf numFmtId="0" fontId="36" fillId="0" borderId="62" xfId="0" applyFont="1" applyBorder="1" applyAlignment="1">
      <alignment horizontal="center"/>
    </xf>
    <xf numFmtId="0" fontId="36" fillId="0" borderId="57" xfId="0" applyFont="1" applyBorder="1" applyAlignment="1">
      <alignment horizontal="center"/>
    </xf>
    <xf numFmtId="0" fontId="36" fillId="29" borderId="57" xfId="0" applyFont="1" applyFill="1" applyBorder="1" applyAlignment="1">
      <alignment horizontal="center"/>
    </xf>
    <xf numFmtId="0" fontId="40" fillId="0" borderId="57" xfId="0" applyFont="1" applyFill="1" applyBorder="1" applyAlignment="1">
      <alignment horizontal="center"/>
    </xf>
    <xf numFmtId="2" fontId="36" fillId="0" borderId="62" xfId="0" applyNumberFormat="1" applyFont="1" applyFill="1" applyBorder="1" applyAlignment="1">
      <alignment horizontal="center"/>
    </xf>
    <xf numFmtId="0" fontId="36" fillId="0" borderId="58" xfId="0" applyFont="1" applyBorder="1" applyAlignment="1">
      <alignment/>
    </xf>
    <xf numFmtId="0" fontId="40" fillId="0" borderId="62" xfId="0" applyFont="1" applyFill="1" applyBorder="1" applyAlignment="1">
      <alignment horizontal="center"/>
    </xf>
    <xf numFmtId="0" fontId="36" fillId="0" borderId="65" xfId="0" applyFont="1" applyBorder="1" applyAlignment="1">
      <alignment/>
    </xf>
    <xf numFmtId="0" fontId="36" fillId="0" borderId="66" xfId="0" applyFont="1" applyBorder="1" applyAlignment="1">
      <alignment/>
    </xf>
    <xf numFmtId="0" fontId="36" fillId="30" borderId="62" xfId="0" applyFont="1" applyFill="1" applyBorder="1" applyAlignment="1">
      <alignment horizontal="center"/>
    </xf>
    <xf numFmtId="0" fontId="40" fillId="0" borderId="61" xfId="0" applyFont="1" applyFill="1" applyBorder="1" applyAlignment="1">
      <alignment horizontal="center"/>
    </xf>
    <xf numFmtId="0" fontId="40" fillId="0" borderId="66" xfId="0" applyFont="1" applyBorder="1" applyAlignment="1">
      <alignment horizontal="left" wrapText="1"/>
    </xf>
    <xf numFmtId="182" fontId="36" fillId="0" borderId="66" xfId="0" applyNumberFormat="1" applyFont="1" applyFill="1" applyBorder="1" applyAlignment="1">
      <alignment horizontal="left"/>
    </xf>
    <xf numFmtId="0" fontId="36" fillId="0" borderId="67" xfId="0" applyFont="1" applyBorder="1" applyAlignment="1">
      <alignment/>
    </xf>
    <xf numFmtId="0" fontId="36" fillId="0" borderId="68" xfId="0" applyFont="1" applyBorder="1" applyAlignment="1">
      <alignment/>
    </xf>
    <xf numFmtId="0" fontId="63" fillId="23" borderId="69" xfId="0" applyFont="1" applyFill="1" applyBorder="1" applyAlignment="1">
      <alignment horizontal="center"/>
    </xf>
    <xf numFmtId="0" fontId="63" fillId="23" borderId="70" xfId="0" applyFont="1" applyFill="1" applyBorder="1" applyAlignment="1">
      <alignment horizontal="center"/>
    </xf>
    <xf numFmtId="0" fontId="63" fillId="23" borderId="71" xfId="0" applyFont="1" applyFill="1" applyBorder="1" applyAlignment="1">
      <alignment horizontal="center"/>
    </xf>
    <xf numFmtId="0" fontId="63" fillId="23" borderId="72" xfId="0" applyFont="1" applyFill="1" applyBorder="1" applyAlignment="1">
      <alignment horizontal="center"/>
    </xf>
    <xf numFmtId="0" fontId="63" fillId="23" borderId="73" xfId="0" applyFont="1" applyFill="1" applyBorder="1" applyAlignment="1">
      <alignment horizontal="center"/>
    </xf>
    <xf numFmtId="0" fontId="63" fillId="23" borderId="74" xfId="0" applyFont="1" applyFill="1" applyBorder="1" applyAlignment="1">
      <alignment horizontal="center"/>
    </xf>
    <xf numFmtId="0" fontId="61" fillId="23" borderId="75" xfId="0" applyFont="1" applyFill="1" applyBorder="1" applyAlignment="1">
      <alignment/>
    </xf>
    <xf numFmtId="0" fontId="61" fillId="23" borderId="76" xfId="0" applyFont="1" applyFill="1" applyBorder="1" applyAlignment="1">
      <alignment/>
    </xf>
    <xf numFmtId="0" fontId="65" fillId="0" borderId="64" xfId="0" applyFont="1" applyBorder="1" applyAlignment="1">
      <alignment/>
    </xf>
    <xf numFmtId="0" fontId="0" fillId="0" borderId="0" xfId="0" applyAlignment="1">
      <alignment horizontal="left" wrapText="1"/>
    </xf>
    <xf numFmtId="0" fontId="0" fillId="25" borderId="0" xfId="0" applyFill="1" applyAlignment="1">
      <alignment horizontal="left" wrapText="1"/>
    </xf>
    <xf numFmtId="0" fontId="70" fillId="0" borderId="0" xfId="0" applyFont="1" applyAlignment="1">
      <alignment horizontal="left" wrapText="1"/>
    </xf>
    <xf numFmtId="0" fontId="64" fillId="23" borderId="50" xfId="0" applyFont="1" applyFill="1" applyBorder="1" applyAlignment="1">
      <alignment horizontal="left" wrapText="1"/>
    </xf>
    <xf numFmtId="0" fontId="0" fillId="25" borderId="0" xfId="0" applyFont="1" applyFill="1" applyAlignment="1">
      <alignment vertical="top" wrapText="1"/>
    </xf>
    <xf numFmtId="0" fontId="27" fillId="23" borderId="24" xfId="0" applyFont="1" applyFill="1" applyBorder="1" applyAlignment="1">
      <alignment horizontal="right" wrapText="1"/>
    </xf>
    <xf numFmtId="0" fontId="48" fillId="0" borderId="0" xfId="0" applyFont="1" applyBorder="1" applyAlignment="1">
      <alignment/>
    </xf>
    <xf numFmtId="0" fontId="29" fillId="23" borderId="0" xfId="0" applyFont="1" applyFill="1" applyBorder="1" applyAlignment="1">
      <alignment horizontal="center" vertical="center"/>
    </xf>
    <xf numFmtId="0" fontId="29" fillId="23" borderId="0" xfId="0" applyFont="1" applyFill="1" applyBorder="1" applyAlignment="1">
      <alignment vertical="center"/>
    </xf>
    <xf numFmtId="0" fontId="28" fillId="23" borderId="0" xfId="0" applyFont="1" applyFill="1" applyBorder="1" applyAlignment="1">
      <alignment vertical="center"/>
    </xf>
    <xf numFmtId="0" fontId="30" fillId="23" borderId="0" xfId="0" applyFont="1" applyFill="1" applyBorder="1" applyAlignment="1">
      <alignment horizontal="right" vertical="center"/>
    </xf>
    <xf numFmtId="0" fontId="4" fillId="0" borderId="0" xfId="0" applyFont="1" applyBorder="1" applyAlignment="1">
      <alignment vertical="top"/>
    </xf>
    <xf numFmtId="0" fontId="4" fillId="0" borderId="0" xfId="0" applyFont="1" applyBorder="1" applyAlignment="1">
      <alignment/>
    </xf>
    <xf numFmtId="0" fontId="71" fillId="0" borderId="0" xfId="0" applyFont="1" applyBorder="1" applyAlignment="1">
      <alignment horizontal="center"/>
    </xf>
    <xf numFmtId="0" fontId="4" fillId="0" borderId="0" xfId="0" applyFont="1" applyBorder="1" applyAlignment="1">
      <alignment horizontal="center"/>
    </xf>
    <xf numFmtId="0" fontId="0" fillId="0" borderId="0" xfId="0" applyFill="1" applyAlignment="1">
      <alignment horizontal="left" wrapText="1"/>
    </xf>
    <xf numFmtId="0" fontId="47" fillId="0" borderId="0" xfId="0" applyFont="1" applyFill="1" applyAlignment="1">
      <alignment/>
    </xf>
    <xf numFmtId="0" fontId="47" fillId="0" borderId="0" xfId="0" applyFont="1" applyFill="1" applyAlignment="1">
      <alignment wrapText="1"/>
    </xf>
    <xf numFmtId="0" fontId="6" fillId="0" borderId="0" xfId="81" applyFill="1" applyAlignment="1">
      <alignment horizontal="left" wrapText="1"/>
    </xf>
    <xf numFmtId="0" fontId="28" fillId="0" borderId="0" xfId="0" applyFont="1" applyFill="1" applyAlignment="1">
      <alignment horizontal="left" wrapText="1"/>
    </xf>
    <xf numFmtId="0" fontId="46" fillId="0" borderId="0" xfId="0" applyFont="1" applyFill="1" applyAlignment="1">
      <alignment horizontal="left" wrapText="1" indent="2"/>
    </xf>
    <xf numFmtId="0" fontId="46" fillId="0" borderId="0" xfId="0" applyFont="1" applyFill="1" applyAlignment="1">
      <alignment horizontal="left" wrapText="1" indent="4"/>
    </xf>
    <xf numFmtId="0" fontId="0" fillId="0" borderId="0" xfId="0" applyFont="1" applyFill="1" applyAlignment="1">
      <alignment horizontal="left" wrapText="1"/>
    </xf>
    <xf numFmtId="0" fontId="52" fillId="23" borderId="22" xfId="0" applyFont="1" applyFill="1" applyBorder="1" applyAlignment="1">
      <alignment horizontal="center" vertical="top"/>
    </xf>
    <xf numFmtId="0" fontId="36" fillId="20" borderId="77" xfId="0" applyFont="1" applyFill="1" applyBorder="1" applyAlignment="1">
      <alignment horizontal="center"/>
    </xf>
    <xf numFmtId="0" fontId="36" fillId="20" borderId="78" xfId="0" applyFont="1" applyFill="1" applyBorder="1" applyAlignment="1">
      <alignment horizontal="center"/>
    </xf>
    <xf numFmtId="0" fontId="36" fillId="20" borderId="79" xfId="0" applyFont="1" applyFill="1" applyBorder="1" applyAlignment="1">
      <alignment horizontal="center"/>
    </xf>
    <xf numFmtId="0" fontId="36" fillId="20" borderId="80" xfId="0" applyFont="1" applyFill="1" applyBorder="1" applyAlignment="1">
      <alignment horizontal="center"/>
    </xf>
    <xf numFmtId="0" fontId="40" fillId="20" borderId="81" xfId="0" applyFont="1" applyFill="1" applyBorder="1" applyAlignment="1">
      <alignment horizontal="center"/>
    </xf>
    <xf numFmtId="0" fontId="40" fillId="20" borderId="82" xfId="0" applyFont="1" applyFill="1" applyBorder="1" applyAlignment="1">
      <alignment horizontal="center"/>
    </xf>
    <xf numFmtId="0" fontId="40" fillId="20" borderId="83" xfId="0" applyFont="1" applyFill="1" applyBorder="1" applyAlignment="1">
      <alignment horizontal="center"/>
    </xf>
    <xf numFmtId="182" fontId="36" fillId="20" borderId="50" xfId="0" applyNumberFormat="1" applyFont="1" applyFill="1" applyBorder="1" applyAlignment="1">
      <alignment horizontal="left"/>
    </xf>
    <xf numFmtId="0" fontId="36" fillId="20" borderId="30" xfId="0" applyFont="1" applyFill="1" applyBorder="1" applyAlignment="1">
      <alignment/>
    </xf>
    <xf numFmtId="0" fontId="37" fillId="20" borderId="84" xfId="0" applyFont="1" applyFill="1" applyBorder="1" applyAlignment="1">
      <alignment/>
    </xf>
    <xf numFmtId="0" fontId="36" fillId="20" borderId="79" xfId="0" applyFont="1" applyFill="1" applyBorder="1" applyAlignment="1">
      <alignment/>
    </xf>
    <xf numFmtId="2" fontId="36" fillId="20" borderId="77" xfId="0" applyNumberFormat="1" applyFont="1" applyFill="1" applyBorder="1" applyAlignment="1">
      <alignment horizontal="center"/>
    </xf>
    <xf numFmtId="2" fontId="36" fillId="20" borderId="78" xfId="0" applyNumberFormat="1" applyFont="1" applyFill="1" applyBorder="1" applyAlignment="1">
      <alignment horizontal="center"/>
    </xf>
    <xf numFmtId="0" fontId="36" fillId="30" borderId="57" xfId="0" applyFont="1" applyFill="1" applyBorder="1" applyAlignment="1">
      <alignment horizontal="center"/>
    </xf>
    <xf numFmtId="0" fontId="36" fillId="30" borderId="27" xfId="0" applyFont="1" applyFill="1" applyBorder="1" applyAlignment="1">
      <alignment horizontal="center"/>
    </xf>
    <xf numFmtId="0" fontId="36" fillId="30" borderId="28" xfId="0" applyFont="1" applyFill="1" applyBorder="1" applyAlignment="1">
      <alignment horizontal="center"/>
    </xf>
    <xf numFmtId="0" fontId="40" fillId="30" borderId="28" xfId="0" applyFont="1" applyFill="1" applyBorder="1" applyAlignment="1">
      <alignment horizontal="center"/>
    </xf>
    <xf numFmtId="0" fontId="40" fillId="30" borderId="27" xfId="0" applyFont="1" applyFill="1" applyBorder="1" applyAlignment="1">
      <alignment horizontal="center"/>
    </xf>
    <xf numFmtId="0" fontId="40" fillId="30" borderId="62" xfId="0" applyFont="1" applyFill="1" applyBorder="1" applyAlignment="1">
      <alignment horizontal="center"/>
    </xf>
    <xf numFmtId="182" fontId="36" fillId="30" borderId="66" xfId="0" applyNumberFormat="1" applyFont="1" applyFill="1" applyBorder="1" applyAlignment="1">
      <alignment horizontal="left"/>
    </xf>
    <xf numFmtId="0" fontId="37" fillId="30" borderId="57" xfId="0" applyFont="1" applyFill="1" applyBorder="1" applyAlignment="1">
      <alignment/>
    </xf>
    <xf numFmtId="0" fontId="36" fillId="30" borderId="62" xfId="0" applyFont="1" applyFill="1" applyBorder="1" applyAlignment="1">
      <alignment/>
    </xf>
    <xf numFmtId="2" fontId="36" fillId="30" borderId="62" xfId="0" applyNumberFormat="1" applyFont="1" applyFill="1" applyBorder="1" applyAlignment="1">
      <alignment horizontal="center"/>
    </xf>
    <xf numFmtId="0" fontId="36" fillId="30" borderId="66" xfId="0" applyFont="1" applyFill="1" applyBorder="1" applyAlignment="1">
      <alignment/>
    </xf>
    <xf numFmtId="0" fontId="36" fillId="0" borderId="49" xfId="0" applyFont="1" applyFill="1" applyBorder="1" applyAlignment="1">
      <alignment/>
    </xf>
    <xf numFmtId="0" fontId="0" fillId="25" borderId="0" xfId="0" applyFill="1" applyAlignment="1">
      <alignment vertical="center" wrapText="1"/>
    </xf>
    <xf numFmtId="0" fontId="0" fillId="25" borderId="0" xfId="0" applyFill="1" applyAlignment="1">
      <alignment horizontal="left" vertical="center" wrapText="1"/>
    </xf>
    <xf numFmtId="0" fontId="0" fillId="0" borderId="0" xfId="0" applyAlignment="1">
      <alignment horizontal="left" vertical="center" wrapText="1"/>
    </xf>
    <xf numFmtId="0" fontId="4" fillId="22" borderId="85" xfId="0" applyFont="1" applyFill="1" applyBorder="1" applyAlignment="1">
      <alignment horizontal="left" vertical="center" wrapText="1"/>
    </xf>
    <xf numFmtId="0" fontId="0" fillId="25" borderId="0" xfId="0" applyFill="1" applyAlignment="1">
      <alignment horizontal="left" vertical="center" wrapText="1" indent="2"/>
    </xf>
    <xf numFmtId="0" fontId="0" fillId="0" borderId="0" xfId="0" applyFill="1" applyAlignment="1">
      <alignment horizontal="left" wrapText="1" indent="2"/>
    </xf>
    <xf numFmtId="0" fontId="0" fillId="0" borderId="0" xfId="0" applyAlignment="1">
      <alignment horizontal="left" wrapText="1" indent="2"/>
    </xf>
    <xf numFmtId="170" fontId="0" fillId="25" borderId="0" xfId="100" applyFill="1" applyAlignment="1">
      <alignment horizontal="left" wrapText="1"/>
    </xf>
    <xf numFmtId="0" fontId="36" fillId="0" borderId="83" xfId="0" applyFont="1" applyFill="1" applyBorder="1" applyAlignment="1">
      <alignment/>
    </xf>
    <xf numFmtId="0" fontId="36" fillId="29" borderId="62" xfId="0" applyFont="1" applyFill="1" applyBorder="1" applyAlignment="1">
      <alignment horizontal="center"/>
    </xf>
    <xf numFmtId="0" fontId="36" fillId="29" borderId="28" xfId="0" applyFont="1" applyFill="1" applyBorder="1" applyAlignment="1">
      <alignment horizontal="center"/>
    </xf>
    <xf numFmtId="0" fontId="40" fillId="29" borderId="28" xfId="0" applyFont="1" applyFill="1" applyBorder="1" applyAlignment="1">
      <alignment horizontal="center"/>
    </xf>
    <xf numFmtId="0" fontId="40" fillId="29" borderId="27" xfId="0" applyFont="1" applyFill="1" applyBorder="1" applyAlignment="1">
      <alignment horizontal="center"/>
    </xf>
    <xf numFmtId="0" fontId="40" fillId="29" borderId="62" xfId="0" applyFont="1" applyFill="1" applyBorder="1" applyAlignment="1">
      <alignment horizontal="center"/>
    </xf>
    <xf numFmtId="182" fontId="36" fillId="29" borderId="66" xfId="0" applyNumberFormat="1" applyFont="1" applyFill="1" applyBorder="1" applyAlignment="1">
      <alignment horizontal="left"/>
    </xf>
    <xf numFmtId="0" fontId="37" fillId="29" borderId="57" xfId="0" applyFont="1" applyFill="1" applyBorder="1" applyAlignment="1">
      <alignment/>
    </xf>
    <xf numFmtId="0" fontId="36" fillId="29" borderId="62" xfId="0" applyFont="1" applyFill="1" applyBorder="1" applyAlignment="1">
      <alignment/>
    </xf>
    <xf numFmtId="2" fontId="36" fillId="29" borderId="62" xfId="0" applyNumberFormat="1" applyFont="1" applyFill="1" applyBorder="1" applyAlignment="1">
      <alignment horizontal="center"/>
    </xf>
    <xf numFmtId="0" fontId="36" fillId="0" borderId="81" xfId="0" applyFont="1" applyBorder="1" applyAlignment="1">
      <alignment/>
    </xf>
    <xf numFmtId="0" fontId="36" fillId="0" borderId="82" xfId="0" applyFont="1" applyBorder="1" applyAlignment="1">
      <alignment/>
    </xf>
    <xf numFmtId="0" fontId="36" fillId="0" borderId="86" xfId="0" applyFont="1" applyBorder="1" applyAlignment="1">
      <alignment/>
    </xf>
    <xf numFmtId="0" fontId="36" fillId="0" borderId="87" xfId="0" applyFont="1" applyBorder="1" applyAlignment="1">
      <alignment/>
    </xf>
    <xf numFmtId="0" fontId="36" fillId="0" borderId="88" xfId="0" applyFont="1" applyBorder="1" applyAlignment="1">
      <alignment/>
    </xf>
    <xf numFmtId="0" fontId="40" fillId="0" borderId="50" xfId="0" applyFont="1" applyBorder="1" applyAlignment="1">
      <alignment horizontal="left" wrapText="1"/>
    </xf>
    <xf numFmtId="0" fontId="36" fillId="0" borderId="50" xfId="0" applyFont="1" applyBorder="1" applyAlignment="1">
      <alignment/>
    </xf>
    <xf numFmtId="180" fontId="36" fillId="0" borderId="83" xfId="0" applyNumberFormat="1" applyFont="1" applyBorder="1" applyAlignment="1">
      <alignment horizontal="center"/>
    </xf>
    <xf numFmtId="171" fontId="36" fillId="0" borderId="83" xfId="0" applyNumberFormat="1" applyFont="1" applyFill="1" applyBorder="1" applyAlignment="1">
      <alignment horizontal="center"/>
    </xf>
    <xf numFmtId="0" fontId="36" fillId="0" borderId="82" xfId="0" applyFont="1" applyBorder="1" applyAlignment="1">
      <alignment horizontal="center"/>
    </xf>
    <xf numFmtId="0" fontId="36" fillId="0" borderId="83" xfId="0" applyFont="1" applyBorder="1" applyAlignment="1">
      <alignment horizontal="center"/>
    </xf>
    <xf numFmtId="0" fontId="36" fillId="25" borderId="82" xfId="0" applyFont="1" applyFill="1" applyBorder="1" applyAlignment="1">
      <alignment horizontal="center"/>
    </xf>
    <xf numFmtId="2" fontId="36" fillId="0" borderId="83" xfId="0" applyNumberFormat="1" applyFont="1" applyBorder="1" applyAlignment="1">
      <alignment horizontal="center"/>
    </xf>
    <xf numFmtId="0" fontId="36" fillId="0" borderId="81" xfId="0" applyFont="1" applyBorder="1" applyAlignment="1">
      <alignment horizontal="center"/>
    </xf>
    <xf numFmtId="180" fontId="36" fillId="0" borderId="82" xfId="0" applyNumberFormat="1" applyFont="1" applyFill="1" applyBorder="1" applyAlignment="1">
      <alignment/>
    </xf>
    <xf numFmtId="184" fontId="36" fillId="0" borderId="82" xfId="0" applyNumberFormat="1" applyFont="1" applyFill="1" applyBorder="1" applyAlignment="1">
      <alignment/>
    </xf>
    <xf numFmtId="171" fontId="36" fillId="0" borderId="82" xfId="0" applyNumberFormat="1" applyFont="1" applyFill="1" applyBorder="1" applyAlignment="1">
      <alignment horizontal="center"/>
    </xf>
    <xf numFmtId="184" fontId="36" fillId="0" borderId="82" xfId="0" applyNumberFormat="1" applyFont="1" applyFill="1" applyBorder="1" applyAlignment="1">
      <alignment horizontal="center"/>
    </xf>
    <xf numFmtId="0" fontId="40" fillId="0" borderId="83" xfId="0" applyFont="1" applyFill="1" applyBorder="1" applyAlignment="1">
      <alignment horizontal="center"/>
    </xf>
    <xf numFmtId="0" fontId="36" fillId="0" borderId="83" xfId="0" applyFont="1" applyFill="1" applyBorder="1" applyAlignment="1">
      <alignment horizontal="center"/>
    </xf>
    <xf numFmtId="2" fontId="36" fillId="0" borderId="77" xfId="0" applyNumberFormat="1" applyFont="1" applyBorder="1" applyAlignment="1">
      <alignment/>
    </xf>
    <xf numFmtId="0" fontId="36" fillId="0" borderId="78" xfId="0" applyFont="1" applyFill="1" applyBorder="1" applyAlignment="1">
      <alignment/>
    </xf>
    <xf numFmtId="0" fontId="36" fillId="0" borderId="83" xfId="0" applyFont="1" applyBorder="1" applyAlignment="1">
      <alignment/>
    </xf>
    <xf numFmtId="2" fontId="36" fillId="0" borderId="83" xfId="0" applyNumberFormat="1" applyFont="1" applyBorder="1" applyAlignment="1">
      <alignment/>
    </xf>
    <xf numFmtId="2" fontId="36" fillId="0" borderId="81" xfId="0" applyNumberFormat="1" applyFont="1" applyBorder="1" applyAlignment="1">
      <alignment/>
    </xf>
    <xf numFmtId="0" fontId="36" fillId="0" borderId="50" xfId="0" applyFont="1" applyFill="1" applyBorder="1" applyAlignment="1">
      <alignment/>
    </xf>
    <xf numFmtId="0" fontId="36" fillId="0" borderId="50" xfId="0" applyFont="1" applyBorder="1" applyAlignment="1">
      <alignment/>
    </xf>
    <xf numFmtId="180" fontId="36" fillId="25" borderId="83" xfId="0" applyNumberFormat="1" applyFont="1" applyFill="1" applyBorder="1" applyAlignment="1">
      <alignment horizontal="center"/>
    </xf>
    <xf numFmtId="0" fontId="36" fillId="0" borderId="89" xfId="0" applyFont="1" applyBorder="1" applyAlignment="1">
      <alignment horizontal="center"/>
    </xf>
    <xf numFmtId="0" fontId="36" fillId="0" borderId="90" xfId="0" applyFont="1" applyBorder="1" applyAlignment="1">
      <alignment horizontal="center"/>
    </xf>
    <xf numFmtId="0" fontId="36" fillId="0" borderId="91" xfId="0" applyFont="1" applyBorder="1" applyAlignment="1">
      <alignment horizontal="center"/>
    </xf>
    <xf numFmtId="0" fontId="36" fillId="0" borderId="92" xfId="0" applyFont="1" applyBorder="1" applyAlignment="1">
      <alignment horizontal="center"/>
    </xf>
    <xf numFmtId="0" fontId="36" fillId="0" borderId="93" xfId="0" applyFont="1" applyBorder="1" applyAlignment="1">
      <alignment horizontal="center"/>
    </xf>
    <xf numFmtId="0" fontId="36" fillId="0" borderId="94" xfId="0" applyFont="1" applyBorder="1" applyAlignment="1">
      <alignment horizontal="center"/>
    </xf>
    <xf numFmtId="0" fontId="36" fillId="0" borderId="78" xfId="0" applyFont="1" applyBorder="1" applyAlignment="1">
      <alignment horizontal="center"/>
    </xf>
    <xf numFmtId="0" fontId="36" fillId="0" borderId="79" xfId="0" applyFont="1" applyBorder="1" applyAlignment="1">
      <alignment horizontal="center"/>
    </xf>
    <xf numFmtId="0" fontId="36" fillId="0" borderId="95" xfId="0" applyFont="1" applyBorder="1" applyAlignment="1">
      <alignment horizontal="center"/>
    </xf>
    <xf numFmtId="0" fontId="36" fillId="0" borderId="96" xfId="0" applyFont="1" applyBorder="1" applyAlignment="1">
      <alignment horizontal="center"/>
    </xf>
    <xf numFmtId="182" fontId="36" fillId="0" borderId="95" xfId="0" applyNumberFormat="1" applyFont="1" applyFill="1" applyBorder="1" applyAlignment="1">
      <alignment horizontal="center"/>
    </xf>
    <xf numFmtId="182" fontId="36" fillId="0" borderId="97" xfId="0" applyNumberFormat="1" applyFont="1" applyFill="1" applyBorder="1" applyAlignment="1">
      <alignment horizontal="center"/>
    </xf>
    <xf numFmtId="182" fontId="36" fillId="0" borderId="96" xfId="0" applyNumberFormat="1" applyFont="1" applyFill="1" applyBorder="1" applyAlignment="1">
      <alignment horizontal="center"/>
    </xf>
    <xf numFmtId="182" fontId="36" fillId="0" borderId="50" xfId="0" applyNumberFormat="1" applyFont="1" applyFill="1" applyBorder="1" applyAlignment="1">
      <alignment horizontal="left"/>
    </xf>
    <xf numFmtId="0" fontId="36" fillId="0" borderId="98" xfId="0" applyFont="1" applyBorder="1" applyAlignment="1">
      <alignment horizontal="center"/>
    </xf>
    <xf numFmtId="0" fontId="36" fillId="0" borderId="94" xfId="0" applyFont="1" applyBorder="1" applyAlignment="1">
      <alignment/>
    </xf>
    <xf numFmtId="0" fontId="36" fillId="0" borderId="99" xfId="0" applyFont="1" applyBorder="1" applyAlignment="1">
      <alignment/>
    </xf>
    <xf numFmtId="0" fontId="36" fillId="0" borderId="98" xfId="0" applyFont="1" applyBorder="1" applyAlignment="1">
      <alignment/>
    </xf>
    <xf numFmtId="0" fontId="36" fillId="0" borderId="77" xfId="0" applyFont="1" applyBorder="1" applyAlignment="1">
      <alignment horizontal="center"/>
    </xf>
    <xf numFmtId="182" fontId="36" fillId="0" borderId="94" xfId="0" applyNumberFormat="1" applyFont="1" applyFill="1" applyBorder="1" applyAlignment="1">
      <alignment horizontal="center"/>
    </xf>
    <xf numFmtId="182" fontId="36" fillId="0" borderId="99" xfId="0" applyNumberFormat="1" applyFont="1" applyFill="1" applyBorder="1" applyAlignment="1">
      <alignment horizontal="center"/>
    </xf>
    <xf numFmtId="182" fontId="36" fillId="0" borderId="98" xfId="0" applyNumberFormat="1" applyFont="1" applyFill="1" applyBorder="1" applyAlignment="1">
      <alignment horizontal="center"/>
    </xf>
    <xf numFmtId="0" fontId="40" fillId="24" borderId="88" xfId="0" applyFont="1" applyFill="1" applyBorder="1" applyAlignment="1">
      <alignment horizontal="center"/>
    </xf>
    <xf numFmtId="0" fontId="40" fillId="24" borderId="86" xfId="0" applyFont="1" applyFill="1" applyBorder="1" applyAlignment="1">
      <alignment horizontal="center"/>
    </xf>
    <xf numFmtId="0" fontId="36" fillId="31" borderId="62" xfId="0" applyFont="1" applyFill="1" applyBorder="1" applyAlignment="1">
      <alignment horizontal="center"/>
    </xf>
    <xf numFmtId="180" fontId="36" fillId="31" borderId="81" xfId="0" applyNumberFormat="1" applyFont="1" applyFill="1" applyBorder="1" applyAlignment="1">
      <alignment horizontal="center"/>
    </xf>
    <xf numFmtId="2" fontId="36" fillId="31" borderId="82" xfId="0" applyNumberFormat="1" applyFont="1" applyFill="1" applyBorder="1" applyAlignment="1">
      <alignment horizontal="center"/>
    </xf>
    <xf numFmtId="184" fontId="36" fillId="31" borderId="82" xfId="0" applyNumberFormat="1" applyFont="1" applyFill="1" applyBorder="1" applyAlignment="1">
      <alignment horizontal="center"/>
    </xf>
    <xf numFmtId="171" fontId="36" fillId="31" borderId="81" xfId="0" applyNumberFormat="1" applyFont="1" applyFill="1" applyBorder="1" applyAlignment="1">
      <alignment horizontal="center"/>
    </xf>
    <xf numFmtId="171" fontId="36" fillId="31" borderId="82" xfId="0" applyNumberFormat="1" applyFont="1" applyFill="1" applyBorder="1" applyAlignment="1">
      <alignment horizontal="center"/>
    </xf>
    <xf numFmtId="2" fontId="36" fillId="31" borderId="81" xfId="0" applyNumberFormat="1" applyFont="1" applyFill="1" applyBorder="1" applyAlignment="1">
      <alignment horizontal="center"/>
    </xf>
    <xf numFmtId="186" fontId="36" fillId="31" borderId="82" xfId="0" applyNumberFormat="1" applyFont="1" applyFill="1" applyBorder="1" applyAlignment="1">
      <alignment horizontal="center"/>
    </xf>
    <xf numFmtId="0" fontId="40" fillId="24" borderId="87" xfId="0" applyFont="1" applyFill="1" applyBorder="1" applyAlignment="1">
      <alignment horizontal="center"/>
    </xf>
    <xf numFmtId="0" fontId="40" fillId="24" borderId="81" xfId="0" applyFont="1" applyFill="1" applyBorder="1" applyAlignment="1">
      <alignment horizontal="center"/>
    </xf>
    <xf numFmtId="0" fontId="40" fillId="24" borderId="82" xfId="0" applyFont="1" applyFill="1" applyBorder="1" applyAlignment="1">
      <alignment horizontal="center"/>
    </xf>
    <xf numFmtId="0" fontId="40" fillId="24" borderId="83" xfId="0" applyFont="1" applyFill="1" applyBorder="1" applyAlignment="1">
      <alignment horizontal="center"/>
    </xf>
    <xf numFmtId="2" fontId="36" fillId="0" borderId="83" xfId="0" applyNumberFormat="1" applyFont="1" applyFill="1" applyBorder="1" applyAlignment="1">
      <alignment horizontal="center"/>
    </xf>
    <xf numFmtId="2" fontId="40" fillId="0" borderId="87" xfId="0" applyNumberFormat="1" applyFont="1" applyFill="1" applyBorder="1" applyAlignment="1">
      <alignment horizontal="center"/>
    </xf>
    <xf numFmtId="0" fontId="36" fillId="24" borderId="81" xfId="0" applyFont="1" applyFill="1" applyBorder="1" applyAlignment="1">
      <alignment horizontal="center"/>
    </xf>
    <xf numFmtId="0" fontId="36" fillId="24" borderId="82" xfId="0" applyFont="1" applyFill="1" applyBorder="1" applyAlignment="1">
      <alignment horizontal="center"/>
    </xf>
    <xf numFmtId="0" fontId="36" fillId="24" borderId="83" xfId="0" applyFont="1" applyFill="1" applyBorder="1" applyAlignment="1">
      <alignment horizontal="center"/>
    </xf>
    <xf numFmtId="0" fontId="36" fillId="31" borderId="82" xfId="0" applyFont="1" applyFill="1" applyBorder="1" applyAlignment="1">
      <alignment horizontal="center"/>
    </xf>
    <xf numFmtId="0" fontId="36" fillId="24" borderId="100" xfId="0" applyFont="1" applyFill="1" applyBorder="1" applyAlignment="1">
      <alignment horizontal="center"/>
    </xf>
    <xf numFmtId="0" fontId="36" fillId="24" borderId="101" xfId="0" applyFont="1" applyFill="1" applyBorder="1" applyAlignment="1">
      <alignment horizontal="center"/>
    </xf>
    <xf numFmtId="0" fontId="36" fillId="24" borderId="102" xfId="0" applyFont="1" applyFill="1" applyBorder="1" applyAlignment="1">
      <alignment horizontal="center"/>
    </xf>
    <xf numFmtId="0" fontId="36" fillId="24" borderId="95" xfId="0" applyFont="1" applyFill="1" applyBorder="1" applyAlignment="1">
      <alignment horizontal="center"/>
    </xf>
    <xf numFmtId="182" fontId="36" fillId="31" borderId="82" xfId="0" applyNumberFormat="1" applyFont="1" applyFill="1" applyBorder="1" applyAlignment="1">
      <alignment horizontal="center"/>
    </xf>
    <xf numFmtId="0" fontId="40" fillId="24" borderId="94" xfId="0" applyFont="1" applyFill="1" applyBorder="1" applyAlignment="1">
      <alignment horizontal="center"/>
    </xf>
    <xf numFmtId="0" fontId="40" fillId="24" borderId="99" xfId="0" applyFont="1" applyFill="1" applyBorder="1" applyAlignment="1">
      <alignment horizontal="center"/>
    </xf>
    <xf numFmtId="0" fontId="40" fillId="24" borderId="98" xfId="0" applyFont="1" applyFill="1" applyBorder="1" applyAlignment="1">
      <alignment horizontal="center"/>
    </xf>
    <xf numFmtId="0" fontId="40" fillId="24" borderId="103" xfId="0" applyFont="1" applyFill="1" applyBorder="1" applyAlignment="1">
      <alignment horizontal="center"/>
    </xf>
    <xf numFmtId="0" fontId="40" fillId="24" borderId="104" xfId="0" applyFont="1" applyFill="1" applyBorder="1" applyAlignment="1">
      <alignment horizontal="center"/>
    </xf>
    <xf numFmtId="0" fontId="40" fillId="24" borderId="105" xfId="0" applyFont="1" applyFill="1" applyBorder="1" applyAlignment="1">
      <alignment horizontal="center"/>
    </xf>
    <xf numFmtId="0" fontId="40" fillId="24" borderId="106" xfId="0" applyFont="1" applyFill="1" applyBorder="1" applyAlignment="1">
      <alignment horizontal="center"/>
    </xf>
    <xf numFmtId="0" fontId="40" fillId="24" borderId="107" xfId="0" applyFont="1" applyFill="1" applyBorder="1" applyAlignment="1">
      <alignment horizontal="center"/>
    </xf>
    <xf numFmtId="0" fontId="40" fillId="24" borderId="108" xfId="0" applyFont="1" applyFill="1" applyBorder="1" applyAlignment="1">
      <alignment horizontal="center"/>
    </xf>
    <xf numFmtId="180" fontId="36" fillId="31" borderId="83" xfId="0" applyNumberFormat="1" applyFont="1" applyFill="1" applyBorder="1" applyAlignment="1">
      <alignment horizontal="center"/>
    </xf>
    <xf numFmtId="0" fontId="36" fillId="31" borderId="83" xfId="0" applyFont="1" applyFill="1" applyBorder="1" applyAlignment="1">
      <alignment horizontal="center"/>
    </xf>
    <xf numFmtId="0" fontId="36" fillId="31" borderId="83" xfId="0" applyFont="1" applyFill="1" applyBorder="1" applyAlignment="1" quotePrefix="1">
      <alignment horizontal="center"/>
    </xf>
    <xf numFmtId="0" fontId="51" fillId="25" borderId="0" xfId="0" applyFont="1" applyFill="1" applyAlignment="1">
      <alignment vertical="center" wrapText="1"/>
    </xf>
    <xf numFmtId="0" fontId="36" fillId="29" borderId="66" xfId="0" applyFont="1" applyFill="1" applyBorder="1" applyAlignment="1">
      <alignment/>
    </xf>
    <xf numFmtId="0" fontId="40" fillId="29" borderId="57" xfId="0" applyFont="1" applyFill="1" applyBorder="1" applyAlignment="1">
      <alignment horizontal="center"/>
    </xf>
    <xf numFmtId="171" fontId="36" fillId="30" borderId="57" xfId="0" applyNumberFormat="1" applyFont="1" applyFill="1" applyBorder="1" applyAlignment="1">
      <alignment horizontal="center"/>
    </xf>
    <xf numFmtId="2" fontId="0" fillId="25" borderId="0" xfId="0" applyNumberFormat="1" applyFont="1" applyFill="1" applyBorder="1" applyAlignment="1">
      <alignment horizontal="right"/>
    </xf>
    <xf numFmtId="2" fontId="0" fillId="25" borderId="0" xfId="0" applyNumberFormat="1" applyFont="1" applyFill="1" applyBorder="1" applyAlignment="1">
      <alignment horizontal="right" vertical="center"/>
    </xf>
    <xf numFmtId="1" fontId="28" fillId="25" borderId="0" xfId="0" applyNumberFormat="1" applyFont="1" applyFill="1" applyBorder="1" applyAlignment="1">
      <alignment horizontal="center"/>
    </xf>
    <xf numFmtId="0" fontId="0" fillId="22" borderId="42" xfId="0" applyFill="1" applyBorder="1" applyAlignment="1">
      <alignment/>
    </xf>
    <xf numFmtId="0" fontId="0" fillId="22" borderId="30" xfId="0" applyFill="1" applyBorder="1" applyAlignment="1">
      <alignment/>
    </xf>
    <xf numFmtId="0" fontId="4" fillId="22" borderId="30" xfId="0" applyFont="1" applyFill="1" applyBorder="1" applyAlignment="1">
      <alignment horizontal="center"/>
    </xf>
    <xf numFmtId="0" fontId="4" fillId="22" borderId="30" xfId="0" applyFont="1" applyFill="1" applyBorder="1" applyAlignment="1">
      <alignment horizontal="left"/>
    </xf>
    <xf numFmtId="0" fontId="50" fillId="22" borderId="109" xfId="0" applyFont="1" applyFill="1" applyBorder="1" applyAlignment="1">
      <alignment/>
    </xf>
    <xf numFmtId="0" fontId="0" fillId="22" borderId="110" xfId="0" applyFill="1" applyBorder="1" applyAlignment="1">
      <alignment/>
    </xf>
    <xf numFmtId="0" fontId="4" fillId="22" borderId="110" xfId="0" applyFont="1" applyFill="1" applyBorder="1" applyAlignment="1">
      <alignment horizontal="left"/>
    </xf>
    <xf numFmtId="0" fontId="4" fillId="22" borderId="47" xfId="0" applyFont="1" applyFill="1" applyBorder="1" applyAlignment="1">
      <alignment horizontal="left"/>
    </xf>
    <xf numFmtId="180" fontId="0" fillId="24" borderId="10" xfId="89" applyNumberFormat="1" applyFont="1" applyFill="1" applyBorder="1" applyAlignment="1" quotePrefix="1">
      <alignment horizontal="right"/>
    </xf>
    <xf numFmtId="0" fontId="28" fillId="23" borderId="15" xfId="0" applyFont="1" applyFill="1" applyBorder="1" applyAlignment="1">
      <alignment/>
    </xf>
    <xf numFmtId="0" fontId="0" fillId="24" borderId="11" xfId="0" applyFont="1" applyFill="1" applyBorder="1" applyAlignment="1">
      <alignment/>
    </xf>
    <xf numFmtId="0" fontId="0" fillId="24" borderId="23" xfId="0" applyFont="1" applyFill="1" applyBorder="1" applyAlignment="1">
      <alignment/>
    </xf>
    <xf numFmtId="2" fontId="28" fillId="25" borderId="0" xfId="0" applyNumberFormat="1" applyFont="1" applyFill="1" applyBorder="1" applyAlignment="1">
      <alignment horizontal="right"/>
    </xf>
    <xf numFmtId="180" fontId="28" fillId="25" borderId="0" xfId="0" applyNumberFormat="1" applyFont="1" applyFill="1" applyBorder="1" applyAlignment="1">
      <alignment horizontal="center"/>
    </xf>
    <xf numFmtId="9" fontId="4" fillId="24" borderId="22" xfId="89" applyNumberFormat="1" applyFont="1" applyFill="1" applyBorder="1" applyAlignment="1" quotePrefix="1">
      <alignment/>
    </xf>
    <xf numFmtId="0" fontId="0" fillId="25" borderId="0" xfId="0" applyFill="1" applyAlignment="1">
      <alignment vertical="top" wrapText="1"/>
    </xf>
    <xf numFmtId="2" fontId="36" fillId="25" borderId="83" xfId="0" applyNumberFormat="1" applyFont="1" applyFill="1" applyBorder="1" applyAlignment="1">
      <alignment horizontal="center"/>
    </xf>
    <xf numFmtId="182" fontId="36" fillId="29" borderId="66" xfId="0" applyNumberFormat="1" applyFont="1" applyFill="1" applyBorder="1" applyAlignment="1" quotePrefix="1">
      <alignment horizontal="left"/>
    </xf>
    <xf numFmtId="0" fontId="0" fillId="25" borderId="0" xfId="0" applyFont="1" applyFill="1" applyAlignment="1">
      <alignment/>
    </xf>
    <xf numFmtId="0" fontId="0" fillId="25" borderId="0" xfId="0" applyFill="1" applyAlignment="1">
      <alignment horizontal="left" vertical="center"/>
    </xf>
    <xf numFmtId="0" fontId="4" fillId="25" borderId="0" xfId="0" applyFont="1" applyFill="1" applyAlignment="1">
      <alignment horizontal="left" vertical="center"/>
    </xf>
    <xf numFmtId="0" fontId="29" fillId="23" borderId="26" xfId="0" applyFont="1" applyFill="1" applyBorder="1" applyAlignment="1">
      <alignment horizontal="left" vertical="center"/>
    </xf>
    <xf numFmtId="0" fontId="0" fillId="0" borderId="0" xfId="0" applyFill="1" applyBorder="1" applyAlignment="1">
      <alignment vertical="center"/>
    </xf>
    <xf numFmtId="0" fontId="75" fillId="0" borderId="0" xfId="0" applyFont="1" applyBorder="1" applyAlignment="1">
      <alignment/>
    </xf>
    <xf numFmtId="0" fontId="76" fillId="0" borderId="0" xfId="0" applyFont="1" applyBorder="1" applyAlignment="1">
      <alignment horizontal="left" vertical="top" wrapText="1"/>
    </xf>
    <xf numFmtId="0" fontId="77" fillId="0" borderId="0" xfId="81" applyFont="1" applyBorder="1" applyAlignment="1">
      <alignment/>
    </xf>
    <xf numFmtId="0" fontId="77" fillId="0" borderId="0" xfId="81" applyFont="1" applyFill="1" applyBorder="1" applyAlignment="1" applyProtection="1">
      <alignment horizontal="left" vertical="top" wrapText="1"/>
      <protection/>
    </xf>
    <xf numFmtId="0" fontId="77" fillId="0" borderId="0" xfId="81" applyFont="1" applyBorder="1" applyAlignment="1" applyProtection="1">
      <alignment/>
      <protection/>
    </xf>
    <xf numFmtId="0" fontId="0" fillId="0" borderId="0" xfId="0" applyFont="1" applyBorder="1" applyAlignment="1">
      <alignment/>
    </xf>
    <xf numFmtId="0" fontId="74" fillId="0" borderId="0" xfId="81" applyFont="1" applyBorder="1" applyAlignment="1" applyProtection="1">
      <alignment vertical="top"/>
      <protection/>
    </xf>
    <xf numFmtId="0" fontId="74" fillId="0" borderId="0" xfId="81" applyFont="1" applyBorder="1" applyAlignment="1">
      <alignment horizontal="left" vertical="top" wrapText="1"/>
    </xf>
    <xf numFmtId="0" fontId="78" fillId="0" borderId="0" xfId="0" applyFont="1" applyBorder="1" applyAlignment="1">
      <alignment/>
    </xf>
    <xf numFmtId="0" fontId="78" fillId="0" borderId="0" xfId="0" applyFont="1" applyBorder="1" applyAlignment="1">
      <alignment horizontal="justify" vertical="top" wrapText="1"/>
    </xf>
    <xf numFmtId="0" fontId="78" fillId="0" borderId="0" xfId="0" applyFont="1" applyBorder="1" applyAlignment="1">
      <alignment horizontal="left" vertical="top" wrapText="1"/>
    </xf>
    <xf numFmtId="0" fontId="6" fillId="25" borderId="0" xfId="81" applyFill="1" applyAlignment="1">
      <alignment horizontal="left" vertical="center" wrapText="1"/>
    </xf>
    <xf numFmtId="0" fontId="0" fillId="25" borderId="0" xfId="0" applyFont="1" applyFill="1" applyAlignment="1">
      <alignment wrapText="1"/>
    </xf>
    <xf numFmtId="0" fontId="0" fillId="25" borderId="0" xfId="0" applyFill="1" applyAlignment="1">
      <alignment wrapText="1"/>
    </xf>
    <xf numFmtId="0" fontId="27" fillId="23" borderId="26" xfId="0" applyFont="1" applyFill="1" applyBorder="1" applyAlignment="1">
      <alignment horizontal="left" wrapText="1"/>
    </xf>
    <xf numFmtId="0" fontId="27" fillId="23" borderId="24" xfId="0" applyFont="1" applyFill="1" applyBorder="1" applyAlignment="1">
      <alignment horizontal="left" wrapText="1"/>
    </xf>
    <xf numFmtId="0" fontId="51" fillId="25" borderId="0" xfId="0" applyFont="1" applyFill="1" applyAlignment="1">
      <alignment vertical="center" wrapText="1"/>
    </xf>
    <xf numFmtId="0" fontId="0" fillId="25" borderId="0" xfId="0" applyFill="1" applyAlignment="1">
      <alignment vertical="center" wrapText="1"/>
    </xf>
    <xf numFmtId="0" fontId="4" fillId="25" borderId="0" xfId="0" applyFont="1" applyFill="1" applyAlignment="1">
      <alignment horizontal="left" vertical="center" wrapText="1"/>
    </xf>
    <xf numFmtId="0" fontId="0" fillId="0" borderId="0" xfId="0" applyAlignment="1">
      <alignment vertical="center" wrapText="1"/>
    </xf>
    <xf numFmtId="0" fontId="0" fillId="25" borderId="0" xfId="0" applyFill="1" applyAlignment="1">
      <alignment horizontal="left" vertical="center" wrapText="1"/>
    </xf>
    <xf numFmtId="0" fontId="0" fillId="25" borderId="0" xfId="0" applyFill="1" applyAlignment="1">
      <alignment horizontal="left" vertical="center" wrapText="1" indent="2"/>
    </xf>
    <xf numFmtId="0" fontId="51" fillId="25" borderId="0" xfId="0" applyFont="1" applyFill="1" applyAlignment="1">
      <alignment horizontal="left" vertical="center" wrapText="1"/>
    </xf>
    <xf numFmtId="0" fontId="0" fillId="25" borderId="0" xfId="0" applyFill="1" applyAlignment="1" quotePrefix="1">
      <alignment horizontal="left" vertical="center" wrapText="1"/>
    </xf>
    <xf numFmtId="0" fontId="0" fillId="25" borderId="0" xfId="0" applyFont="1" applyFill="1" applyAlignment="1">
      <alignment horizontal="left" vertical="center" wrapText="1" indent="2"/>
    </xf>
    <xf numFmtId="0" fontId="6" fillId="25" borderId="0" xfId="81" applyFill="1" applyAlignment="1">
      <alignment horizontal="left" vertical="center" wrapText="1" indent="2"/>
    </xf>
    <xf numFmtId="0" fontId="0" fillId="0" borderId="0" xfId="0" applyAlignment="1">
      <alignment horizontal="left" vertical="center" wrapText="1" indent="2"/>
    </xf>
    <xf numFmtId="0" fontId="0" fillId="25" borderId="0" xfId="0" applyFill="1" applyAlignment="1">
      <alignment horizontal="left" vertical="center" wrapText="1" indent="1"/>
    </xf>
    <xf numFmtId="0" fontId="73" fillId="25" borderId="0" xfId="0" applyFont="1" applyFill="1" applyAlignment="1">
      <alignment horizontal="left" vertical="center" wrapText="1"/>
    </xf>
    <xf numFmtId="2" fontId="0" fillId="20" borderId="14" xfId="0" applyNumberFormat="1" applyFont="1" applyFill="1" applyBorder="1" applyAlignment="1">
      <alignment horizontal="right"/>
    </xf>
    <xf numFmtId="0" fontId="0" fillId="0" borderId="14" xfId="0" applyBorder="1" applyAlignment="1">
      <alignment horizontal="right"/>
    </xf>
    <xf numFmtId="2" fontId="0" fillId="25" borderId="0" xfId="0" applyNumberFormat="1" applyFont="1" applyFill="1" applyBorder="1" applyAlignment="1">
      <alignment horizontal="right" vertical="center"/>
    </xf>
    <xf numFmtId="2" fontId="0" fillId="20" borderId="14" xfId="0" applyNumberFormat="1" applyFont="1" applyFill="1" applyBorder="1" applyAlignment="1">
      <alignment horizontal="right" vertical="center"/>
    </xf>
    <xf numFmtId="0" fontId="0" fillId="0" borderId="14" xfId="0" applyBorder="1" applyAlignment="1">
      <alignment vertical="center"/>
    </xf>
    <xf numFmtId="0" fontId="60" fillId="23" borderId="0" xfId="0" applyFont="1" applyFill="1" applyBorder="1" applyAlignment="1">
      <alignment horizontal="center"/>
    </xf>
    <xf numFmtId="0" fontId="68" fillId="20" borderId="111" xfId="0" applyFont="1" applyFill="1" applyBorder="1" applyAlignment="1">
      <alignment/>
    </xf>
    <xf numFmtId="0" fontId="69" fillId="20" borderId="112" xfId="0" applyFont="1" applyFill="1" applyBorder="1" applyAlignment="1">
      <alignment/>
    </xf>
    <xf numFmtId="0" fontId="60" fillId="23" borderId="113" xfId="0" applyFont="1" applyFill="1" applyBorder="1" applyAlignment="1">
      <alignment horizontal="center"/>
    </xf>
    <xf numFmtId="0" fontId="28" fillId="23" borderId="42" xfId="0" applyFont="1" applyFill="1" applyBorder="1" applyAlignment="1">
      <alignment horizontal="center"/>
    </xf>
    <xf numFmtId="0" fontId="60" fillId="23" borderId="10" xfId="0" applyFont="1" applyFill="1" applyBorder="1" applyAlignment="1">
      <alignment horizontal="center"/>
    </xf>
    <xf numFmtId="0" fontId="60" fillId="23" borderId="30" xfId="0" applyFont="1" applyFill="1" applyBorder="1" applyAlignment="1">
      <alignment horizontal="center"/>
    </xf>
    <xf numFmtId="0" fontId="67" fillId="23" borderId="19" xfId="0" applyFont="1" applyFill="1" applyBorder="1" applyAlignment="1">
      <alignment horizontal="left"/>
    </xf>
    <xf numFmtId="0" fontId="67" fillId="23" borderId="42" xfId="0" applyFont="1" applyFill="1" applyBorder="1" applyAlignment="1">
      <alignment horizontal="left"/>
    </xf>
    <xf numFmtId="0" fontId="45" fillId="30" borderId="57" xfId="0" applyFont="1" applyFill="1" applyBorder="1" applyAlignment="1">
      <alignment/>
    </xf>
    <xf numFmtId="0" fontId="46" fillId="30" borderId="62" xfId="0" applyFont="1" applyFill="1" applyBorder="1" applyAlignment="1">
      <alignment/>
    </xf>
    <xf numFmtId="0" fontId="45" fillId="29" borderId="57" xfId="0" applyFont="1" applyFill="1" applyBorder="1" applyAlignment="1">
      <alignment wrapText="1"/>
    </xf>
    <xf numFmtId="0" fontId="0" fillId="29" borderId="62" xfId="0" applyFill="1" applyBorder="1" applyAlignment="1">
      <alignment wrapText="1"/>
    </xf>
    <xf numFmtId="0" fontId="40" fillId="0" borderId="57" xfId="0" applyFont="1" applyBorder="1" applyAlignment="1">
      <alignment/>
    </xf>
    <xf numFmtId="0" fontId="0" fillId="0" borderId="62" xfId="0" applyBorder="1" applyAlignment="1">
      <alignment/>
    </xf>
    <xf numFmtId="0" fontId="60" fillId="23" borderId="21" xfId="0"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Followed Hyperlink" xfId="58"/>
    <cellStyle name="Buena" xfId="59"/>
    <cellStyle name="Calculation" xfId="60"/>
    <cellStyle name="Cálculo" xfId="61"/>
    <cellStyle name="Celda de comprobación" xfId="62"/>
    <cellStyle name="Celda vinculada" xfId="63"/>
    <cellStyle name="Check Cell" xfId="64"/>
    <cellStyle name="Comma" xfId="65"/>
    <cellStyle name="Comma [0]" xfId="66"/>
    <cellStyle name="Encabezado 4" xfId="67"/>
    <cellStyle name="Énfasis1" xfId="68"/>
    <cellStyle name="Énfasis2" xfId="69"/>
    <cellStyle name="Énfasis3" xfId="70"/>
    <cellStyle name="Énfasis4" xfId="71"/>
    <cellStyle name="Énfasis5" xfId="72"/>
    <cellStyle name="Énfasis6" xfId="73"/>
    <cellStyle name="Entrada" xfId="74"/>
    <cellStyle name="Explanatory Text" xfId="75"/>
    <cellStyle name="Good" xfId="76"/>
    <cellStyle name="Heading 1" xfId="77"/>
    <cellStyle name="Heading 2" xfId="78"/>
    <cellStyle name="Heading 3" xfId="79"/>
    <cellStyle name="Heading 4" xfId="80"/>
    <cellStyle name="Hyperlink" xfId="81"/>
    <cellStyle name="Incorrecto" xfId="82"/>
    <cellStyle name="Input" xfId="83"/>
    <cellStyle name="Linked Cell" xfId="84"/>
    <cellStyle name="Neutral" xfId="85"/>
    <cellStyle name="Notas" xfId="86"/>
    <cellStyle name="Note" xfId="87"/>
    <cellStyle name="Output" xfId="88"/>
    <cellStyle name="Percent" xfId="89"/>
    <cellStyle name="Salida" xfId="90"/>
    <cellStyle name="Texto de advertencia" xfId="91"/>
    <cellStyle name="Texto explicativo" xfId="92"/>
    <cellStyle name="Title" xfId="93"/>
    <cellStyle name="Título" xfId="94"/>
    <cellStyle name="Título 1" xfId="95"/>
    <cellStyle name="Título 2" xfId="96"/>
    <cellStyle name="Título 3" xfId="97"/>
    <cellStyle name="Título_BioGrace Excel sheets - version 1.2.a" xfId="98"/>
    <cellStyle name="Total" xfId="99"/>
    <cellStyle name="Currency" xfId="100"/>
    <cellStyle name="Currency [0]" xfId="101"/>
    <cellStyle name="Warning Text" xfId="102"/>
  </cellStyles>
  <dxfs count="5">
    <dxf>
      <font>
        <b val="0"/>
        <i/>
      </font>
      <fill>
        <patternFill>
          <bgColor indexed="22"/>
        </patternFill>
      </fill>
    </dxf>
    <dxf>
      <font>
        <b val="0"/>
        <i/>
      </font>
      <fill>
        <patternFill>
          <bgColor indexed="22"/>
        </patternFill>
      </fill>
    </dxf>
    <dxf>
      <font>
        <b val="0"/>
        <i/>
      </font>
      <fill>
        <patternFill>
          <bgColor indexed="22"/>
        </patternFill>
      </fill>
    </dxf>
    <dxf>
      <font>
        <b val="0"/>
        <i/>
      </font>
      <fill>
        <patternFill>
          <bgColor indexed="22"/>
        </patternFill>
      </fill>
    </dxf>
    <dxf>
      <font>
        <b/>
        <i val="0"/>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C8D2F5"/>
      <rgbColor rgb="00800000"/>
      <rgbColor rgb="00008000"/>
      <rgbColor rgb="00000080"/>
      <rgbColor rgb="003C6919"/>
      <rgbColor rgb="00800080"/>
      <rgbColor rgb="00008080"/>
      <rgbColor rgb="00C0C0C0"/>
      <rgbColor rgb="00808080"/>
      <rgbColor rgb="00B3B3B3"/>
      <rgbColor rgb="00CDD20A"/>
      <rgbColor rgb="003C6919"/>
      <rgbColor rgb="00505A91"/>
      <rgbColor rgb="00660066"/>
      <rgbColor rgb="00FF8080"/>
      <rgbColor rgb="000066CC"/>
      <rgbColor rgb="00CCCCFF"/>
      <rgbColor rgb="00000080"/>
      <rgbColor rgb="00EBEB32"/>
      <rgbColor rgb="00A0BE91"/>
      <rgbColor rgb="00C8D2F5"/>
      <rgbColor rgb="00800080"/>
      <rgbColor rgb="00800000"/>
      <rgbColor rgb="00008080"/>
      <rgbColor rgb="000000FF"/>
      <rgbColor rgb="00A0BE91"/>
      <rgbColor rgb="00E6E6E6"/>
      <rgbColor rgb="00CCFFCC"/>
      <rgbColor rgb="00FFFF99"/>
      <rgbColor rgb="0099CCFF"/>
      <rgbColor rgb="00FF99CC"/>
      <rgbColor rgb="00CC99FF"/>
      <rgbColor rgb="00FFCC99"/>
      <rgbColor rgb="003366FF"/>
      <rgbColor rgb="0033CCCC"/>
      <rgbColor rgb="00CDD20A"/>
      <rgbColor rgb="00FFCC00"/>
      <rgbColor rgb="00FF9900"/>
      <rgbColor rgb="00FF6600"/>
      <rgbColor rgb="00505A91"/>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About!A1" /><Relationship Id="rId3" Type="http://schemas.openxmlformats.org/officeDocument/2006/relationships/hyperlink" Target="#Directory!A1" /><Relationship Id="rId4" Type="http://schemas.openxmlformats.org/officeDocument/2006/relationships/hyperlink" Target="http://www.biograce.net/" TargetMode="External" /><Relationship Id="rId5" Type="http://schemas.openxmlformats.org/officeDocument/2006/relationships/hyperlink" Target="http://ec.europa.eu/intelligentenergy" TargetMode="External" /><Relationship Id="rId6" Type="http://schemas.openxmlformats.org/officeDocument/2006/relationships/hyperlink" Target="#About!A1" /><Relationship Id="rId7" Type="http://schemas.openxmlformats.org/officeDocument/2006/relationships/hyperlink" Target="#About!A1" /><Relationship Id="rId8" Type="http://schemas.openxmlformats.org/officeDocument/2006/relationships/hyperlink" Target="#Directory!A1" /><Relationship Id="rId9" Type="http://schemas.openxmlformats.org/officeDocument/2006/relationships/hyperlink" Target="http://www.biograce.net/" TargetMode="External" /><Relationship Id="rId10" Type="http://schemas.openxmlformats.org/officeDocument/2006/relationships/hyperlink" Target="http://ec.europa.eu/intelligentenergy" TargetMode="External" /><Relationship Id="rId1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biograce.net/" TargetMode="External" /><Relationship Id="rId3" Type="http://schemas.openxmlformats.org/officeDocument/2006/relationships/hyperlink" Target="http://ec.europa.eu/intelligentenergy" TargetMode="External" /><Relationship Id="rId4" Type="http://schemas.openxmlformats.org/officeDocument/2006/relationships/hyperlink" Target="#About!A1" /><Relationship Id="rId5" Type="http://schemas.openxmlformats.org/officeDocument/2006/relationships/hyperlink" Target="#Directory!A1" /><Relationship Id="rId6" Type="http://schemas.openxmlformats.org/officeDocument/2006/relationships/hyperlink" Target="#About!A1" /><Relationship Id="rId7" Type="http://schemas.openxmlformats.org/officeDocument/2006/relationships/hyperlink" Target="#Directory!A1" /><Relationship Id="rId8" Type="http://schemas.openxmlformats.org/officeDocument/2006/relationships/hyperlink" Target="http://www.biograce.net/" TargetMode="External" /><Relationship Id="rId9" Type="http://schemas.openxmlformats.org/officeDocument/2006/relationships/hyperlink" Target="http://ec.europa.eu/intelligentenerg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3.png" /><Relationship Id="rId4" Type="http://schemas.openxmlformats.org/officeDocument/2006/relationships/hyperlink" Target="http://www.biograce.net/" TargetMode="External" /><Relationship Id="rId5" Type="http://schemas.openxmlformats.org/officeDocument/2006/relationships/hyperlink" Target="http://ec.europa.eu/intelligentenergy" TargetMode="External" /><Relationship Id="rId6" Type="http://schemas.openxmlformats.org/officeDocument/2006/relationships/hyperlink" Target="#About!A1" /><Relationship Id="rId7" Type="http://schemas.openxmlformats.org/officeDocument/2006/relationships/hyperlink" Target="#Directory!A1"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1.emf" /><Relationship Id="rId3" Type="http://schemas.openxmlformats.org/officeDocument/2006/relationships/image" Target="../media/image3.png" /><Relationship Id="rId4" Type="http://schemas.openxmlformats.org/officeDocument/2006/relationships/hyperlink" Target="#About!A1" /><Relationship Id="rId5" Type="http://schemas.openxmlformats.org/officeDocument/2006/relationships/hyperlink" Target="#Directory!A1" /><Relationship Id="rId6" Type="http://schemas.openxmlformats.org/officeDocument/2006/relationships/hyperlink" Target="http://ec.europa.eu/intelligentenergy" TargetMode="External" /><Relationship Id="rId7" Type="http://schemas.openxmlformats.org/officeDocument/2006/relationships/hyperlink" Target="http://www.biograce.net/"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 Id="rId3" Type="http://schemas.openxmlformats.org/officeDocument/2006/relationships/image" Target="../media/image3.png" /><Relationship Id="rId4" Type="http://schemas.openxmlformats.org/officeDocument/2006/relationships/hyperlink" Target="http://www.biograce.net/" TargetMode="External" /><Relationship Id="rId5" Type="http://schemas.openxmlformats.org/officeDocument/2006/relationships/hyperlink" Target="http://ec.europa.eu/intelligentenergy" TargetMode="External" /><Relationship Id="rId6" Type="http://schemas.openxmlformats.org/officeDocument/2006/relationships/hyperlink" Target="#About!A1" /><Relationship Id="rId7" Type="http://schemas.openxmlformats.org/officeDocument/2006/relationships/hyperlink" Target="#Directory!A1"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3.png" /><Relationship Id="rId4" Type="http://schemas.openxmlformats.org/officeDocument/2006/relationships/hyperlink" Target="http://www.biograce.net/" TargetMode="External" /><Relationship Id="rId5" Type="http://schemas.openxmlformats.org/officeDocument/2006/relationships/hyperlink" Target="http://ec.europa.eu/intelligentenergy" TargetMode="External" /><Relationship Id="rId6" Type="http://schemas.openxmlformats.org/officeDocument/2006/relationships/hyperlink" Target="#About!A1" /><Relationship Id="rId7" Type="http://schemas.openxmlformats.org/officeDocument/2006/relationships/hyperlink" Target="#Directory!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www.biograce.net/" TargetMode="External" /><Relationship Id="rId4" Type="http://schemas.openxmlformats.org/officeDocument/2006/relationships/hyperlink" Target="http://ec.europa.eu/intelligentenergy" TargetMode="External" /><Relationship Id="rId5" Type="http://schemas.openxmlformats.org/officeDocument/2006/relationships/hyperlink" Target="#About!A1" /><Relationship Id="rId6" Type="http://schemas.openxmlformats.org/officeDocument/2006/relationships/hyperlink" Target="#Directory!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www.biograce.net/" TargetMode="External" /><Relationship Id="rId4" Type="http://schemas.openxmlformats.org/officeDocument/2006/relationships/hyperlink" Target="#About!A1" /><Relationship Id="rId5" Type="http://schemas.openxmlformats.org/officeDocument/2006/relationships/hyperlink" Target="#Directory!A1" /><Relationship Id="rId6" Type="http://schemas.openxmlformats.org/officeDocument/2006/relationships/hyperlink" Target="http://ec.europa.eu/intelligentenerg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2876550</xdr:colOff>
      <xdr:row>1</xdr:row>
      <xdr:rowOff>0</xdr:rowOff>
    </xdr:to>
    <xdr:pic>
      <xdr:nvPicPr>
        <xdr:cNvPr id="1" name="Picture 14"/>
        <xdr:cNvPicPr preferRelativeResize="1">
          <a:picLocks noChangeAspect="1"/>
        </xdr:cNvPicPr>
      </xdr:nvPicPr>
      <xdr:blipFill>
        <a:blip r:embed="rId1"/>
        <a:stretch>
          <a:fillRect/>
        </a:stretch>
      </xdr:blipFill>
      <xdr:spPr>
        <a:xfrm>
          <a:off x="9525" y="0"/>
          <a:ext cx="7248525" cy="733425"/>
        </a:xfrm>
        <a:prstGeom prst="rect">
          <a:avLst/>
        </a:prstGeom>
        <a:noFill/>
        <a:ln w="9525" cmpd="sng">
          <a:noFill/>
        </a:ln>
      </xdr:spPr>
    </xdr:pic>
    <xdr:clientData/>
  </xdr:twoCellAnchor>
  <xdr:twoCellAnchor>
    <xdr:from>
      <xdr:col>3</xdr:col>
      <xdr:colOff>1362075</xdr:colOff>
      <xdr:row>0</xdr:row>
      <xdr:rowOff>600075</xdr:rowOff>
    </xdr:from>
    <xdr:to>
      <xdr:col>3</xdr:col>
      <xdr:colOff>1619250</xdr:colOff>
      <xdr:row>0</xdr:row>
      <xdr:rowOff>695325</xdr:rowOff>
    </xdr:to>
    <xdr:sp>
      <xdr:nvSpPr>
        <xdr:cNvPr id="2" name="AutoShape 5">
          <a:hlinkClick r:id="rId2"/>
        </xdr:cNvPr>
        <xdr:cNvSpPr>
          <a:spLocks/>
        </xdr:cNvSpPr>
      </xdr:nvSpPr>
      <xdr:spPr>
        <a:xfrm>
          <a:off x="5743575" y="600075"/>
          <a:ext cx="257175" cy="95250"/>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3</xdr:col>
      <xdr:colOff>1781175</xdr:colOff>
      <xdr:row>0</xdr:row>
      <xdr:rowOff>609600</xdr:rowOff>
    </xdr:from>
    <xdr:to>
      <xdr:col>3</xdr:col>
      <xdr:colOff>2162175</xdr:colOff>
      <xdr:row>0</xdr:row>
      <xdr:rowOff>695325</xdr:rowOff>
    </xdr:to>
    <xdr:sp>
      <xdr:nvSpPr>
        <xdr:cNvPr id="3" name="AutoShape 6">
          <a:hlinkClick r:id="rId3"/>
        </xdr:cNvPr>
        <xdr:cNvSpPr>
          <a:spLocks/>
        </xdr:cNvSpPr>
      </xdr:nvSpPr>
      <xdr:spPr>
        <a:xfrm>
          <a:off x="6162675" y="609600"/>
          <a:ext cx="381000" cy="8572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8</xdr:col>
      <xdr:colOff>571500</xdr:colOff>
      <xdr:row>0</xdr:row>
      <xdr:rowOff>66675</xdr:rowOff>
    </xdr:from>
    <xdr:to>
      <xdr:col>10</xdr:col>
      <xdr:colOff>304800</xdr:colOff>
      <xdr:row>0</xdr:row>
      <xdr:rowOff>190500</xdr:rowOff>
    </xdr:to>
    <xdr:sp>
      <xdr:nvSpPr>
        <xdr:cNvPr id="4" name="AutoShape 7">
          <a:hlinkClick r:id="rId4"/>
        </xdr:cNvPr>
        <xdr:cNvSpPr>
          <a:spLocks/>
        </xdr:cNvSpPr>
      </xdr:nvSpPr>
      <xdr:spPr>
        <a:xfrm>
          <a:off x="10277475" y="66675"/>
          <a:ext cx="952500" cy="1238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10</xdr:col>
      <xdr:colOff>409575</xdr:colOff>
      <xdr:row>0</xdr:row>
      <xdr:rowOff>19050</xdr:rowOff>
    </xdr:from>
    <xdr:to>
      <xdr:col>12</xdr:col>
      <xdr:colOff>600075</xdr:colOff>
      <xdr:row>0</xdr:row>
      <xdr:rowOff>152400</xdr:rowOff>
    </xdr:to>
    <xdr:sp>
      <xdr:nvSpPr>
        <xdr:cNvPr id="5" name="AutoShape 8">
          <a:hlinkClick r:id="rId5"/>
        </xdr:cNvPr>
        <xdr:cNvSpPr>
          <a:spLocks/>
        </xdr:cNvSpPr>
      </xdr:nvSpPr>
      <xdr:spPr>
        <a:xfrm>
          <a:off x="11334750" y="19050"/>
          <a:ext cx="1428750" cy="13335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6</xdr:col>
      <xdr:colOff>133350</xdr:colOff>
      <xdr:row>78</xdr:row>
      <xdr:rowOff>38100</xdr:rowOff>
    </xdr:from>
    <xdr:to>
      <xdr:col>7</xdr:col>
      <xdr:colOff>19050</xdr:colOff>
      <xdr:row>78</xdr:row>
      <xdr:rowOff>219075</xdr:rowOff>
    </xdr:to>
    <xdr:sp>
      <xdr:nvSpPr>
        <xdr:cNvPr id="6" name="AutoShape 9">
          <a:hlinkClick r:id="rId6"/>
        </xdr:cNvPr>
        <xdr:cNvSpPr>
          <a:spLocks/>
        </xdr:cNvSpPr>
      </xdr:nvSpPr>
      <xdr:spPr>
        <a:xfrm>
          <a:off x="8620125" y="20193000"/>
          <a:ext cx="495300" cy="1809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4</xdr:col>
      <xdr:colOff>0</xdr:colOff>
      <xdr:row>0</xdr:row>
      <xdr:rowOff>447675</xdr:rowOff>
    </xdr:from>
    <xdr:to>
      <xdr:col>4</xdr:col>
      <xdr:colOff>28575</xdr:colOff>
      <xdr:row>1</xdr:row>
      <xdr:rowOff>95250</xdr:rowOff>
    </xdr:to>
    <xdr:sp>
      <xdr:nvSpPr>
        <xdr:cNvPr id="7" name="AutoShape 10">
          <a:hlinkClick r:id="rId7"/>
        </xdr:cNvPr>
        <xdr:cNvSpPr>
          <a:spLocks/>
        </xdr:cNvSpPr>
      </xdr:nvSpPr>
      <xdr:spPr>
        <a:xfrm>
          <a:off x="7267575" y="447675"/>
          <a:ext cx="28575" cy="381000"/>
        </a:xfrm>
        <a:prstGeom prst="rect"/>
        <a:noFill/>
      </xdr:spPr>
      <xdr:txBody>
        <a:bodyPr fromWordArt="1" wrap="none">
          <a:prstTxWarp prst="textPlain">
            <a:avLst>
              <a:gd name="adj" fmla="val 66666"/>
            </a:avLst>
          </a:prstTxWarp>
        </a:bodyPr>
        <a:p>
          <a:pPr algn="ctr"/>
          <a:r>
            <a:rPr sz="1000" kern="10" spc="0">
              <a:ln w="9525" cmpd="sng">
                <a:noFill/>
              </a:ln>
              <a:noFill/>
              <a:latin typeface="Arial Black"/>
              <a:cs typeface="Arial Black"/>
            </a:rPr>
            <a:t>About</a:t>
          </a:r>
        </a:p>
      </xdr:txBody>
    </xdr:sp>
    <xdr:clientData/>
  </xdr:twoCellAnchor>
  <xdr:twoCellAnchor>
    <xdr:from>
      <xdr:col>4</xdr:col>
      <xdr:colOff>0</xdr:colOff>
      <xdr:row>0</xdr:row>
      <xdr:rowOff>457200</xdr:rowOff>
    </xdr:from>
    <xdr:to>
      <xdr:col>4</xdr:col>
      <xdr:colOff>28575</xdr:colOff>
      <xdr:row>1</xdr:row>
      <xdr:rowOff>66675</xdr:rowOff>
    </xdr:to>
    <xdr:sp>
      <xdr:nvSpPr>
        <xdr:cNvPr id="8" name="AutoShape 11">
          <a:hlinkClick r:id="rId8"/>
        </xdr:cNvPr>
        <xdr:cNvSpPr>
          <a:spLocks/>
        </xdr:cNvSpPr>
      </xdr:nvSpPr>
      <xdr:spPr>
        <a:xfrm>
          <a:off x="7267575" y="457200"/>
          <a:ext cx="28575" cy="34290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3</xdr:col>
      <xdr:colOff>228600</xdr:colOff>
      <xdr:row>0</xdr:row>
      <xdr:rowOff>66675</xdr:rowOff>
    </xdr:from>
    <xdr:to>
      <xdr:col>3</xdr:col>
      <xdr:colOff>1057275</xdr:colOff>
      <xdr:row>0</xdr:row>
      <xdr:rowOff>161925</xdr:rowOff>
    </xdr:to>
    <xdr:sp>
      <xdr:nvSpPr>
        <xdr:cNvPr id="9" name="AutoShape 12">
          <a:hlinkClick r:id="rId9"/>
        </xdr:cNvPr>
        <xdr:cNvSpPr>
          <a:spLocks/>
        </xdr:cNvSpPr>
      </xdr:nvSpPr>
      <xdr:spPr>
        <a:xfrm>
          <a:off x="4610100" y="66675"/>
          <a:ext cx="828675" cy="95250"/>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3</xdr:col>
      <xdr:colOff>1162050</xdr:colOff>
      <xdr:row>0</xdr:row>
      <xdr:rowOff>9525</xdr:rowOff>
    </xdr:from>
    <xdr:to>
      <xdr:col>3</xdr:col>
      <xdr:colOff>2333625</xdr:colOff>
      <xdr:row>0</xdr:row>
      <xdr:rowOff>152400</xdr:rowOff>
    </xdr:to>
    <xdr:sp>
      <xdr:nvSpPr>
        <xdr:cNvPr id="10" name="AutoShape 13">
          <a:hlinkClick r:id="rId10"/>
        </xdr:cNvPr>
        <xdr:cNvSpPr>
          <a:spLocks/>
        </xdr:cNvSpPr>
      </xdr:nvSpPr>
      <xdr:spPr>
        <a:xfrm>
          <a:off x="5543550" y="9525"/>
          <a:ext cx="1171575" cy="142875"/>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editAs="oneCell">
    <xdr:from>
      <xdr:col>0</xdr:col>
      <xdr:colOff>0</xdr:colOff>
      <xdr:row>87</xdr:row>
      <xdr:rowOff>314325</xdr:rowOff>
    </xdr:from>
    <xdr:to>
      <xdr:col>2</xdr:col>
      <xdr:colOff>1419225</xdr:colOff>
      <xdr:row>87</xdr:row>
      <xdr:rowOff>676275</xdr:rowOff>
    </xdr:to>
    <xdr:pic>
      <xdr:nvPicPr>
        <xdr:cNvPr id="11" name="Picture 18"/>
        <xdr:cNvPicPr preferRelativeResize="1">
          <a:picLocks noChangeAspect="1"/>
        </xdr:cNvPicPr>
      </xdr:nvPicPr>
      <xdr:blipFill>
        <a:blip r:embed="rId11"/>
        <a:stretch>
          <a:fillRect/>
        </a:stretch>
      </xdr:blipFill>
      <xdr:spPr>
        <a:xfrm>
          <a:off x="0" y="22288500"/>
          <a:ext cx="27051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257175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8810625" cy="885825"/>
        </a:xfrm>
        <a:prstGeom prst="rect">
          <a:avLst/>
        </a:prstGeom>
        <a:noFill/>
        <a:ln w="9525" cmpd="sng">
          <a:noFill/>
        </a:ln>
      </xdr:spPr>
    </xdr:pic>
    <xdr:clientData/>
  </xdr:twoCellAnchor>
  <xdr:twoCellAnchor>
    <xdr:from>
      <xdr:col>2</xdr:col>
      <xdr:colOff>504825</xdr:colOff>
      <xdr:row>0</xdr:row>
      <xdr:rowOff>95250</xdr:rowOff>
    </xdr:from>
    <xdr:to>
      <xdr:col>3</xdr:col>
      <xdr:colOff>457200</xdr:colOff>
      <xdr:row>0</xdr:row>
      <xdr:rowOff>200025</xdr:rowOff>
    </xdr:to>
    <xdr:sp>
      <xdr:nvSpPr>
        <xdr:cNvPr id="2" name="AutoShape 2">
          <a:hlinkClick r:id="rId2"/>
        </xdr:cNvPr>
        <xdr:cNvSpPr>
          <a:spLocks/>
        </xdr:cNvSpPr>
      </xdr:nvSpPr>
      <xdr:spPr>
        <a:xfrm>
          <a:off x="5581650" y="95250"/>
          <a:ext cx="1038225" cy="10477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10</xdr:col>
      <xdr:colOff>228600</xdr:colOff>
      <xdr:row>0</xdr:row>
      <xdr:rowOff>0</xdr:rowOff>
    </xdr:from>
    <xdr:to>
      <xdr:col>13</xdr:col>
      <xdr:colOff>0</xdr:colOff>
      <xdr:row>0</xdr:row>
      <xdr:rowOff>266700</xdr:rowOff>
    </xdr:to>
    <xdr:sp>
      <xdr:nvSpPr>
        <xdr:cNvPr id="3" name="AutoShape 3">
          <a:hlinkClick r:id="rId3"/>
        </xdr:cNvPr>
        <xdr:cNvSpPr>
          <a:spLocks/>
        </xdr:cNvSpPr>
      </xdr:nvSpPr>
      <xdr:spPr>
        <a:xfrm>
          <a:off x="11830050" y="0"/>
          <a:ext cx="20574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10</xdr:col>
      <xdr:colOff>581025</xdr:colOff>
      <xdr:row>0</xdr:row>
      <xdr:rowOff>885825</xdr:rowOff>
    </xdr:from>
    <xdr:to>
      <xdr:col>11</xdr:col>
      <xdr:colOff>314325</xdr:colOff>
      <xdr:row>0</xdr:row>
      <xdr:rowOff>885825</xdr:rowOff>
    </xdr:to>
    <xdr:sp>
      <xdr:nvSpPr>
        <xdr:cNvPr id="4" name="AutoShape 4">
          <a:hlinkClick r:id="rId4"/>
        </xdr:cNvPr>
        <xdr:cNvSpPr>
          <a:spLocks/>
        </xdr:cNvSpPr>
      </xdr:nvSpPr>
      <xdr:spPr>
        <a:xfrm>
          <a:off x="12182475" y="885825"/>
          <a:ext cx="495300" cy="0"/>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11</xdr:col>
      <xdr:colOff>590550</xdr:colOff>
      <xdr:row>0</xdr:row>
      <xdr:rowOff>885825</xdr:rowOff>
    </xdr:from>
    <xdr:to>
      <xdr:col>12</xdr:col>
      <xdr:colOff>561975</xdr:colOff>
      <xdr:row>0</xdr:row>
      <xdr:rowOff>885825</xdr:rowOff>
    </xdr:to>
    <xdr:sp>
      <xdr:nvSpPr>
        <xdr:cNvPr id="5" name="AutoShape 5">
          <a:hlinkClick r:id="rId5"/>
        </xdr:cNvPr>
        <xdr:cNvSpPr>
          <a:spLocks/>
        </xdr:cNvSpPr>
      </xdr:nvSpPr>
      <xdr:spPr>
        <a:xfrm>
          <a:off x="12954000" y="885825"/>
          <a:ext cx="733425" cy="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3</xdr:col>
      <xdr:colOff>828675</xdr:colOff>
      <xdr:row>0</xdr:row>
      <xdr:rowOff>723900</xdr:rowOff>
    </xdr:from>
    <xdr:to>
      <xdr:col>4</xdr:col>
      <xdr:colOff>238125</xdr:colOff>
      <xdr:row>0</xdr:row>
      <xdr:rowOff>847725</xdr:rowOff>
    </xdr:to>
    <xdr:sp>
      <xdr:nvSpPr>
        <xdr:cNvPr id="6" name="AutoShape 7">
          <a:hlinkClick r:id="rId6"/>
        </xdr:cNvPr>
        <xdr:cNvSpPr>
          <a:spLocks/>
        </xdr:cNvSpPr>
      </xdr:nvSpPr>
      <xdr:spPr>
        <a:xfrm>
          <a:off x="6991350" y="723900"/>
          <a:ext cx="276225" cy="12382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4</xdr:col>
      <xdr:colOff>428625</xdr:colOff>
      <xdr:row>0</xdr:row>
      <xdr:rowOff>742950</xdr:rowOff>
    </xdr:from>
    <xdr:to>
      <xdr:col>5</xdr:col>
      <xdr:colOff>200025</xdr:colOff>
      <xdr:row>0</xdr:row>
      <xdr:rowOff>838200</xdr:rowOff>
    </xdr:to>
    <xdr:sp>
      <xdr:nvSpPr>
        <xdr:cNvPr id="7" name="AutoShape 8">
          <a:hlinkClick r:id="rId7"/>
        </xdr:cNvPr>
        <xdr:cNvSpPr>
          <a:spLocks/>
        </xdr:cNvSpPr>
      </xdr:nvSpPr>
      <xdr:spPr>
        <a:xfrm>
          <a:off x="7458075" y="742950"/>
          <a:ext cx="533400" cy="9525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4</xdr:col>
      <xdr:colOff>190500</xdr:colOff>
      <xdr:row>0</xdr:row>
      <xdr:rowOff>66675</xdr:rowOff>
    </xdr:from>
    <xdr:to>
      <xdr:col>5</xdr:col>
      <xdr:colOff>428625</xdr:colOff>
      <xdr:row>0</xdr:row>
      <xdr:rowOff>219075</xdr:rowOff>
    </xdr:to>
    <xdr:sp>
      <xdr:nvSpPr>
        <xdr:cNvPr id="8" name="AutoShape 9">
          <a:hlinkClick r:id="rId8"/>
        </xdr:cNvPr>
        <xdr:cNvSpPr>
          <a:spLocks/>
        </xdr:cNvSpPr>
      </xdr:nvSpPr>
      <xdr:spPr>
        <a:xfrm>
          <a:off x="7219950" y="66675"/>
          <a:ext cx="1000125" cy="152400"/>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3</xdr:col>
      <xdr:colOff>552450</xdr:colOff>
      <xdr:row>0</xdr:row>
      <xdr:rowOff>0</xdr:rowOff>
    </xdr:from>
    <xdr:to>
      <xdr:col>5</xdr:col>
      <xdr:colOff>352425</xdr:colOff>
      <xdr:row>0</xdr:row>
      <xdr:rowOff>200025</xdr:rowOff>
    </xdr:to>
    <xdr:sp>
      <xdr:nvSpPr>
        <xdr:cNvPr id="9" name="AutoShape 10">
          <a:hlinkClick r:id="rId9"/>
        </xdr:cNvPr>
        <xdr:cNvSpPr>
          <a:spLocks/>
        </xdr:cNvSpPr>
      </xdr:nvSpPr>
      <xdr:spPr>
        <a:xfrm>
          <a:off x="6715125" y="0"/>
          <a:ext cx="1428750" cy="200025"/>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14</xdr:row>
      <xdr:rowOff>47625</xdr:rowOff>
    </xdr:from>
    <xdr:to>
      <xdr:col>12</xdr:col>
      <xdr:colOff>876300</xdr:colOff>
      <xdr:row>16</xdr:row>
      <xdr:rowOff>85725</xdr:rowOff>
    </xdr:to>
    <xdr:pic>
      <xdr:nvPicPr>
        <xdr:cNvPr id="1" name="CheckBox2"/>
        <xdr:cNvPicPr preferRelativeResize="1">
          <a:picLocks noChangeAspect="1"/>
        </xdr:cNvPicPr>
      </xdr:nvPicPr>
      <xdr:blipFill>
        <a:blip r:embed="rId1"/>
        <a:stretch>
          <a:fillRect/>
        </a:stretch>
      </xdr:blipFill>
      <xdr:spPr>
        <a:xfrm>
          <a:off x="9182100" y="4010025"/>
          <a:ext cx="2838450" cy="466725"/>
        </a:xfrm>
        <a:prstGeom prst="rect">
          <a:avLst/>
        </a:prstGeom>
        <a:noFill/>
        <a:ln w="9525" cmpd="sng">
          <a:noFill/>
        </a:ln>
      </xdr:spPr>
    </xdr:pic>
    <xdr:clientData/>
  </xdr:twoCellAnchor>
  <xdr:twoCellAnchor editAs="oneCell">
    <xdr:from>
      <xdr:col>8</xdr:col>
      <xdr:colOff>38100</xdr:colOff>
      <xdr:row>12</xdr:row>
      <xdr:rowOff>0</xdr:rowOff>
    </xdr:from>
    <xdr:to>
      <xdr:col>12</xdr:col>
      <xdr:colOff>866775</xdr:colOff>
      <xdr:row>14</xdr:row>
      <xdr:rowOff>161925</xdr:rowOff>
    </xdr:to>
    <xdr:pic>
      <xdr:nvPicPr>
        <xdr:cNvPr id="2" name="CheckBox1"/>
        <xdr:cNvPicPr preferRelativeResize="1">
          <a:picLocks noChangeAspect="1"/>
        </xdr:cNvPicPr>
      </xdr:nvPicPr>
      <xdr:blipFill>
        <a:blip r:embed="rId2"/>
        <a:stretch>
          <a:fillRect/>
        </a:stretch>
      </xdr:blipFill>
      <xdr:spPr>
        <a:xfrm>
          <a:off x="9182100" y="3657600"/>
          <a:ext cx="2828925" cy="466725"/>
        </a:xfrm>
        <a:prstGeom prst="rect">
          <a:avLst/>
        </a:prstGeom>
        <a:noFill/>
        <a:ln w="9525" cmpd="sng">
          <a:noFill/>
        </a:ln>
      </xdr:spPr>
    </xdr:pic>
    <xdr:clientData/>
  </xdr:twoCellAnchor>
  <xdr:twoCellAnchor editAs="oneCell">
    <xdr:from>
      <xdr:col>0</xdr:col>
      <xdr:colOff>0</xdr:colOff>
      <xdr:row>0</xdr:row>
      <xdr:rowOff>0</xdr:rowOff>
    </xdr:from>
    <xdr:to>
      <xdr:col>13</xdr:col>
      <xdr:colOff>628650</xdr:colOff>
      <xdr:row>1</xdr:row>
      <xdr:rowOff>0</xdr:rowOff>
    </xdr:to>
    <xdr:pic>
      <xdr:nvPicPr>
        <xdr:cNvPr id="3" name="Picture 80"/>
        <xdr:cNvPicPr preferRelativeResize="1">
          <a:picLocks noChangeAspect="1"/>
        </xdr:cNvPicPr>
      </xdr:nvPicPr>
      <xdr:blipFill>
        <a:blip r:embed="rId3"/>
        <a:stretch>
          <a:fillRect/>
        </a:stretch>
      </xdr:blipFill>
      <xdr:spPr>
        <a:xfrm>
          <a:off x="0" y="0"/>
          <a:ext cx="12887325" cy="1295400"/>
        </a:xfrm>
        <a:prstGeom prst="rect">
          <a:avLst/>
        </a:prstGeom>
        <a:noFill/>
        <a:ln w="9525" cmpd="sng">
          <a:noFill/>
        </a:ln>
      </xdr:spPr>
    </xdr:pic>
    <xdr:clientData/>
  </xdr:twoCellAnchor>
  <xdr:twoCellAnchor>
    <xdr:from>
      <xdr:col>6</xdr:col>
      <xdr:colOff>952500</xdr:colOff>
      <xdr:row>0</xdr:row>
      <xdr:rowOff>123825</xdr:rowOff>
    </xdr:from>
    <xdr:to>
      <xdr:col>8</xdr:col>
      <xdr:colOff>476250</xdr:colOff>
      <xdr:row>0</xdr:row>
      <xdr:rowOff>285750</xdr:rowOff>
    </xdr:to>
    <xdr:sp>
      <xdr:nvSpPr>
        <xdr:cNvPr id="4" name="AutoShape 81">
          <a:hlinkClick r:id="rId4"/>
        </xdr:cNvPr>
        <xdr:cNvSpPr>
          <a:spLocks/>
        </xdr:cNvSpPr>
      </xdr:nvSpPr>
      <xdr:spPr>
        <a:xfrm>
          <a:off x="8181975" y="123825"/>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9</xdr:col>
      <xdr:colOff>95250</xdr:colOff>
      <xdr:row>0</xdr:row>
      <xdr:rowOff>0</xdr:rowOff>
    </xdr:from>
    <xdr:to>
      <xdr:col>12</xdr:col>
      <xdr:colOff>762000</xdr:colOff>
      <xdr:row>0</xdr:row>
      <xdr:rowOff>266700</xdr:rowOff>
    </xdr:to>
    <xdr:sp>
      <xdr:nvSpPr>
        <xdr:cNvPr id="5" name="AutoShape 82">
          <a:hlinkClick r:id="rId5"/>
        </xdr:cNvPr>
        <xdr:cNvSpPr>
          <a:spLocks/>
        </xdr:cNvSpPr>
      </xdr:nvSpPr>
      <xdr:spPr>
        <a:xfrm>
          <a:off x="9848850" y="0"/>
          <a:ext cx="20574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9</xdr:col>
      <xdr:colOff>457200</xdr:colOff>
      <xdr:row>0</xdr:row>
      <xdr:rowOff>1057275</xdr:rowOff>
    </xdr:from>
    <xdr:to>
      <xdr:col>10</xdr:col>
      <xdr:colOff>247650</xdr:colOff>
      <xdr:row>0</xdr:row>
      <xdr:rowOff>1266825</xdr:rowOff>
    </xdr:to>
    <xdr:sp>
      <xdr:nvSpPr>
        <xdr:cNvPr id="6" name="AutoShape 83">
          <a:hlinkClick r:id="rId6"/>
        </xdr:cNvPr>
        <xdr:cNvSpPr>
          <a:spLocks/>
        </xdr:cNvSpPr>
      </xdr:nvSpPr>
      <xdr:spPr>
        <a:xfrm>
          <a:off x="10210800" y="1057275"/>
          <a:ext cx="400050" cy="209550"/>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10</xdr:col>
      <xdr:colOff>581025</xdr:colOff>
      <xdr:row>0</xdr:row>
      <xdr:rowOff>1085850</xdr:rowOff>
    </xdr:from>
    <xdr:to>
      <xdr:col>12</xdr:col>
      <xdr:colOff>476250</xdr:colOff>
      <xdr:row>0</xdr:row>
      <xdr:rowOff>1247775</xdr:rowOff>
    </xdr:to>
    <xdr:sp>
      <xdr:nvSpPr>
        <xdr:cNvPr id="7" name="AutoShape 84">
          <a:hlinkClick r:id="rId7"/>
        </xdr:cNvPr>
        <xdr:cNvSpPr>
          <a:spLocks/>
        </xdr:cNvSpPr>
      </xdr:nvSpPr>
      <xdr:spPr>
        <a:xfrm>
          <a:off x="10944225" y="1085850"/>
          <a:ext cx="676275" cy="16192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13</xdr:row>
      <xdr:rowOff>47625</xdr:rowOff>
    </xdr:from>
    <xdr:to>
      <xdr:col>12</xdr:col>
      <xdr:colOff>876300</xdr:colOff>
      <xdr:row>15</xdr:row>
      <xdr:rowOff>85725</xdr:rowOff>
    </xdr:to>
    <xdr:pic>
      <xdr:nvPicPr>
        <xdr:cNvPr id="1" name="CheckBox2"/>
        <xdr:cNvPicPr preferRelativeResize="1">
          <a:picLocks noChangeAspect="1"/>
        </xdr:cNvPicPr>
      </xdr:nvPicPr>
      <xdr:blipFill>
        <a:blip r:embed="rId1"/>
        <a:stretch>
          <a:fillRect/>
        </a:stretch>
      </xdr:blipFill>
      <xdr:spPr>
        <a:xfrm>
          <a:off x="8924925" y="3857625"/>
          <a:ext cx="2838450" cy="466725"/>
        </a:xfrm>
        <a:prstGeom prst="rect">
          <a:avLst/>
        </a:prstGeom>
        <a:noFill/>
        <a:ln w="9525" cmpd="sng">
          <a:noFill/>
        </a:ln>
      </xdr:spPr>
    </xdr:pic>
    <xdr:clientData/>
  </xdr:twoCellAnchor>
  <xdr:twoCellAnchor editAs="oneCell">
    <xdr:from>
      <xdr:col>8</xdr:col>
      <xdr:colOff>38100</xdr:colOff>
      <xdr:row>11</xdr:row>
      <xdr:rowOff>0</xdr:rowOff>
    </xdr:from>
    <xdr:to>
      <xdr:col>12</xdr:col>
      <xdr:colOff>866775</xdr:colOff>
      <xdr:row>13</xdr:row>
      <xdr:rowOff>161925</xdr:rowOff>
    </xdr:to>
    <xdr:pic>
      <xdr:nvPicPr>
        <xdr:cNvPr id="2" name="CheckBox1"/>
        <xdr:cNvPicPr preferRelativeResize="1">
          <a:picLocks noChangeAspect="1"/>
        </xdr:cNvPicPr>
      </xdr:nvPicPr>
      <xdr:blipFill>
        <a:blip r:embed="rId2"/>
        <a:stretch>
          <a:fillRect/>
        </a:stretch>
      </xdr:blipFill>
      <xdr:spPr>
        <a:xfrm>
          <a:off x="8924925" y="3505200"/>
          <a:ext cx="2828925" cy="466725"/>
        </a:xfrm>
        <a:prstGeom prst="rect">
          <a:avLst/>
        </a:prstGeom>
        <a:noFill/>
        <a:ln w="9525" cmpd="sng">
          <a:noFill/>
        </a:ln>
      </xdr:spPr>
    </xdr:pic>
    <xdr:clientData/>
  </xdr:twoCellAnchor>
  <xdr:twoCellAnchor editAs="oneCell">
    <xdr:from>
      <xdr:col>0</xdr:col>
      <xdr:colOff>0</xdr:colOff>
      <xdr:row>0</xdr:row>
      <xdr:rowOff>0</xdr:rowOff>
    </xdr:from>
    <xdr:to>
      <xdr:col>13</xdr:col>
      <xdr:colOff>809625</xdr:colOff>
      <xdr:row>1</xdr:row>
      <xdr:rowOff>0</xdr:rowOff>
    </xdr:to>
    <xdr:pic>
      <xdr:nvPicPr>
        <xdr:cNvPr id="3" name="Picture 14"/>
        <xdr:cNvPicPr preferRelativeResize="1">
          <a:picLocks noChangeAspect="1"/>
        </xdr:cNvPicPr>
      </xdr:nvPicPr>
      <xdr:blipFill>
        <a:blip r:embed="rId3"/>
        <a:stretch>
          <a:fillRect/>
        </a:stretch>
      </xdr:blipFill>
      <xdr:spPr>
        <a:xfrm>
          <a:off x="0" y="0"/>
          <a:ext cx="12887325" cy="1295400"/>
        </a:xfrm>
        <a:prstGeom prst="rect">
          <a:avLst/>
        </a:prstGeom>
        <a:noFill/>
        <a:ln w="9525" cmpd="sng">
          <a:noFill/>
        </a:ln>
      </xdr:spPr>
    </xdr:pic>
    <xdr:clientData/>
  </xdr:twoCellAnchor>
  <xdr:twoCellAnchor>
    <xdr:from>
      <xdr:col>10</xdr:col>
      <xdr:colOff>66675</xdr:colOff>
      <xdr:row>0</xdr:row>
      <xdr:rowOff>1057275</xdr:rowOff>
    </xdr:from>
    <xdr:to>
      <xdr:col>10</xdr:col>
      <xdr:colOff>561975</xdr:colOff>
      <xdr:row>0</xdr:row>
      <xdr:rowOff>1238250</xdr:rowOff>
    </xdr:to>
    <xdr:sp>
      <xdr:nvSpPr>
        <xdr:cNvPr id="4" name="AutoShape 16">
          <a:hlinkClick r:id="rId4"/>
        </xdr:cNvPr>
        <xdr:cNvSpPr>
          <a:spLocks/>
        </xdr:cNvSpPr>
      </xdr:nvSpPr>
      <xdr:spPr>
        <a:xfrm>
          <a:off x="10172700" y="1057275"/>
          <a:ext cx="495300" cy="1809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12</xdr:col>
      <xdr:colOff>28575</xdr:colOff>
      <xdr:row>0</xdr:row>
      <xdr:rowOff>1047750</xdr:rowOff>
    </xdr:from>
    <xdr:to>
      <xdr:col>12</xdr:col>
      <xdr:colOff>762000</xdr:colOff>
      <xdr:row>0</xdr:row>
      <xdr:rowOff>1228725</xdr:rowOff>
    </xdr:to>
    <xdr:sp>
      <xdr:nvSpPr>
        <xdr:cNvPr id="5" name="AutoShape 17">
          <a:hlinkClick r:id="rId5"/>
        </xdr:cNvPr>
        <xdr:cNvSpPr>
          <a:spLocks/>
        </xdr:cNvSpPr>
      </xdr:nvSpPr>
      <xdr:spPr>
        <a:xfrm>
          <a:off x="10915650" y="1047750"/>
          <a:ext cx="733425" cy="18097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9</xdr:col>
      <xdr:colOff>323850</xdr:colOff>
      <xdr:row>0</xdr:row>
      <xdr:rowOff>0</xdr:rowOff>
    </xdr:from>
    <xdr:to>
      <xdr:col>12</xdr:col>
      <xdr:colOff>990600</xdr:colOff>
      <xdr:row>0</xdr:row>
      <xdr:rowOff>266700</xdr:rowOff>
    </xdr:to>
    <xdr:sp>
      <xdr:nvSpPr>
        <xdr:cNvPr id="6" name="AutoShape 18">
          <a:hlinkClick r:id="rId6"/>
        </xdr:cNvPr>
        <xdr:cNvSpPr>
          <a:spLocks/>
        </xdr:cNvSpPr>
      </xdr:nvSpPr>
      <xdr:spPr>
        <a:xfrm>
          <a:off x="9820275" y="0"/>
          <a:ext cx="20574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6</xdr:col>
      <xdr:colOff>1209675</xdr:colOff>
      <xdr:row>0</xdr:row>
      <xdr:rowOff>133350</xdr:rowOff>
    </xdr:from>
    <xdr:to>
      <xdr:col>9</xdr:col>
      <xdr:colOff>123825</xdr:colOff>
      <xdr:row>0</xdr:row>
      <xdr:rowOff>295275</xdr:rowOff>
    </xdr:to>
    <xdr:sp>
      <xdr:nvSpPr>
        <xdr:cNvPr id="7" name="AutoShape 19">
          <a:hlinkClick r:id="rId7"/>
        </xdr:cNvPr>
        <xdr:cNvSpPr>
          <a:spLocks/>
        </xdr:cNvSpPr>
      </xdr:nvSpPr>
      <xdr:spPr>
        <a:xfrm>
          <a:off x="8181975" y="133350"/>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16</xdr:row>
      <xdr:rowOff>47625</xdr:rowOff>
    </xdr:from>
    <xdr:to>
      <xdr:col>12</xdr:col>
      <xdr:colOff>876300</xdr:colOff>
      <xdr:row>18</xdr:row>
      <xdr:rowOff>85725</xdr:rowOff>
    </xdr:to>
    <xdr:pic>
      <xdr:nvPicPr>
        <xdr:cNvPr id="1" name="CheckBox2"/>
        <xdr:cNvPicPr preferRelativeResize="1">
          <a:picLocks noChangeAspect="1"/>
        </xdr:cNvPicPr>
      </xdr:nvPicPr>
      <xdr:blipFill>
        <a:blip r:embed="rId1"/>
        <a:stretch>
          <a:fillRect/>
        </a:stretch>
      </xdr:blipFill>
      <xdr:spPr>
        <a:xfrm>
          <a:off x="8924925" y="4314825"/>
          <a:ext cx="2838450" cy="466725"/>
        </a:xfrm>
        <a:prstGeom prst="rect">
          <a:avLst/>
        </a:prstGeom>
        <a:noFill/>
        <a:ln w="9525" cmpd="sng">
          <a:noFill/>
        </a:ln>
      </xdr:spPr>
    </xdr:pic>
    <xdr:clientData/>
  </xdr:twoCellAnchor>
  <xdr:twoCellAnchor editAs="oneCell">
    <xdr:from>
      <xdr:col>8</xdr:col>
      <xdr:colOff>38100</xdr:colOff>
      <xdr:row>14</xdr:row>
      <xdr:rowOff>0</xdr:rowOff>
    </xdr:from>
    <xdr:to>
      <xdr:col>12</xdr:col>
      <xdr:colOff>866775</xdr:colOff>
      <xdr:row>16</xdr:row>
      <xdr:rowOff>161925</xdr:rowOff>
    </xdr:to>
    <xdr:pic>
      <xdr:nvPicPr>
        <xdr:cNvPr id="2" name="CheckBox1"/>
        <xdr:cNvPicPr preferRelativeResize="1">
          <a:picLocks noChangeAspect="1"/>
        </xdr:cNvPicPr>
      </xdr:nvPicPr>
      <xdr:blipFill>
        <a:blip r:embed="rId2"/>
        <a:stretch>
          <a:fillRect/>
        </a:stretch>
      </xdr:blipFill>
      <xdr:spPr>
        <a:xfrm>
          <a:off x="8924925" y="3962400"/>
          <a:ext cx="2828925" cy="466725"/>
        </a:xfrm>
        <a:prstGeom prst="rect">
          <a:avLst/>
        </a:prstGeom>
        <a:noFill/>
        <a:ln w="9525" cmpd="sng">
          <a:noFill/>
        </a:ln>
      </xdr:spPr>
    </xdr:pic>
    <xdr:clientData/>
  </xdr:twoCellAnchor>
  <xdr:twoCellAnchor editAs="oneCell">
    <xdr:from>
      <xdr:col>0</xdr:col>
      <xdr:colOff>0</xdr:colOff>
      <xdr:row>0</xdr:row>
      <xdr:rowOff>0</xdr:rowOff>
    </xdr:from>
    <xdr:to>
      <xdr:col>13</xdr:col>
      <xdr:colOff>828675</xdr:colOff>
      <xdr:row>1</xdr:row>
      <xdr:rowOff>0</xdr:rowOff>
    </xdr:to>
    <xdr:pic>
      <xdr:nvPicPr>
        <xdr:cNvPr id="3" name="Picture 34"/>
        <xdr:cNvPicPr preferRelativeResize="1">
          <a:picLocks noChangeAspect="1"/>
        </xdr:cNvPicPr>
      </xdr:nvPicPr>
      <xdr:blipFill>
        <a:blip r:embed="rId3"/>
        <a:stretch>
          <a:fillRect/>
        </a:stretch>
      </xdr:blipFill>
      <xdr:spPr>
        <a:xfrm>
          <a:off x="0" y="0"/>
          <a:ext cx="12887325" cy="1295400"/>
        </a:xfrm>
        <a:prstGeom prst="rect">
          <a:avLst/>
        </a:prstGeom>
        <a:noFill/>
        <a:ln w="9525" cmpd="sng">
          <a:noFill/>
        </a:ln>
      </xdr:spPr>
    </xdr:pic>
    <xdr:clientData/>
  </xdr:twoCellAnchor>
  <xdr:twoCellAnchor>
    <xdr:from>
      <xdr:col>6</xdr:col>
      <xdr:colOff>1209675</xdr:colOff>
      <xdr:row>0</xdr:row>
      <xdr:rowOff>133350</xdr:rowOff>
    </xdr:from>
    <xdr:to>
      <xdr:col>9</xdr:col>
      <xdr:colOff>123825</xdr:colOff>
      <xdr:row>0</xdr:row>
      <xdr:rowOff>295275</xdr:rowOff>
    </xdr:to>
    <xdr:sp>
      <xdr:nvSpPr>
        <xdr:cNvPr id="4" name="AutoShape 35">
          <a:hlinkClick r:id="rId4"/>
        </xdr:cNvPr>
        <xdr:cNvSpPr>
          <a:spLocks/>
        </xdr:cNvSpPr>
      </xdr:nvSpPr>
      <xdr:spPr>
        <a:xfrm>
          <a:off x="8181975" y="133350"/>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9</xdr:col>
      <xdr:colOff>323850</xdr:colOff>
      <xdr:row>0</xdr:row>
      <xdr:rowOff>0</xdr:rowOff>
    </xdr:from>
    <xdr:to>
      <xdr:col>12</xdr:col>
      <xdr:colOff>990600</xdr:colOff>
      <xdr:row>0</xdr:row>
      <xdr:rowOff>266700</xdr:rowOff>
    </xdr:to>
    <xdr:sp>
      <xdr:nvSpPr>
        <xdr:cNvPr id="5" name="AutoShape 36">
          <a:hlinkClick r:id="rId5"/>
        </xdr:cNvPr>
        <xdr:cNvSpPr>
          <a:spLocks/>
        </xdr:cNvSpPr>
      </xdr:nvSpPr>
      <xdr:spPr>
        <a:xfrm>
          <a:off x="9820275" y="0"/>
          <a:ext cx="20574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10</xdr:col>
      <xdr:colOff>66675</xdr:colOff>
      <xdr:row>0</xdr:row>
      <xdr:rowOff>1057275</xdr:rowOff>
    </xdr:from>
    <xdr:to>
      <xdr:col>10</xdr:col>
      <xdr:colOff>466725</xdr:colOff>
      <xdr:row>0</xdr:row>
      <xdr:rowOff>1238250</xdr:rowOff>
    </xdr:to>
    <xdr:sp>
      <xdr:nvSpPr>
        <xdr:cNvPr id="6" name="AutoShape 37">
          <a:hlinkClick r:id="rId6"/>
        </xdr:cNvPr>
        <xdr:cNvSpPr>
          <a:spLocks/>
        </xdr:cNvSpPr>
      </xdr:nvSpPr>
      <xdr:spPr>
        <a:xfrm>
          <a:off x="10172700" y="1057275"/>
          <a:ext cx="400050" cy="1809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12</xdr:col>
      <xdr:colOff>57150</xdr:colOff>
      <xdr:row>0</xdr:row>
      <xdr:rowOff>1057275</xdr:rowOff>
    </xdr:from>
    <xdr:to>
      <xdr:col>12</xdr:col>
      <xdr:colOff>742950</xdr:colOff>
      <xdr:row>0</xdr:row>
      <xdr:rowOff>1219200</xdr:rowOff>
    </xdr:to>
    <xdr:sp>
      <xdr:nvSpPr>
        <xdr:cNvPr id="7" name="AutoShape 38">
          <a:hlinkClick r:id="rId7"/>
        </xdr:cNvPr>
        <xdr:cNvSpPr>
          <a:spLocks/>
        </xdr:cNvSpPr>
      </xdr:nvSpPr>
      <xdr:spPr>
        <a:xfrm>
          <a:off x="10944225" y="1057275"/>
          <a:ext cx="685800" cy="16192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14</xdr:row>
      <xdr:rowOff>57150</xdr:rowOff>
    </xdr:from>
    <xdr:to>
      <xdr:col>12</xdr:col>
      <xdr:colOff>904875</xdr:colOff>
      <xdr:row>16</xdr:row>
      <xdr:rowOff>152400</xdr:rowOff>
    </xdr:to>
    <xdr:pic>
      <xdr:nvPicPr>
        <xdr:cNvPr id="1" name="CheckBox2"/>
        <xdr:cNvPicPr preferRelativeResize="1">
          <a:picLocks noChangeAspect="1"/>
        </xdr:cNvPicPr>
      </xdr:nvPicPr>
      <xdr:blipFill>
        <a:blip r:embed="rId1"/>
        <a:stretch>
          <a:fillRect/>
        </a:stretch>
      </xdr:blipFill>
      <xdr:spPr>
        <a:xfrm>
          <a:off x="9286875" y="4019550"/>
          <a:ext cx="2838450" cy="466725"/>
        </a:xfrm>
        <a:prstGeom prst="rect">
          <a:avLst/>
        </a:prstGeom>
        <a:noFill/>
        <a:ln w="9525" cmpd="sng">
          <a:noFill/>
        </a:ln>
      </xdr:spPr>
    </xdr:pic>
    <xdr:clientData/>
  </xdr:twoCellAnchor>
  <xdr:twoCellAnchor editAs="oneCell">
    <xdr:from>
      <xdr:col>8</xdr:col>
      <xdr:colOff>57150</xdr:colOff>
      <xdr:row>12</xdr:row>
      <xdr:rowOff>0</xdr:rowOff>
    </xdr:from>
    <xdr:to>
      <xdr:col>12</xdr:col>
      <xdr:colOff>895350</xdr:colOff>
      <xdr:row>15</xdr:row>
      <xdr:rowOff>9525</xdr:rowOff>
    </xdr:to>
    <xdr:pic>
      <xdr:nvPicPr>
        <xdr:cNvPr id="2" name="CheckBox1"/>
        <xdr:cNvPicPr preferRelativeResize="1">
          <a:picLocks noChangeAspect="1"/>
        </xdr:cNvPicPr>
      </xdr:nvPicPr>
      <xdr:blipFill>
        <a:blip r:embed="rId2"/>
        <a:stretch>
          <a:fillRect/>
        </a:stretch>
      </xdr:blipFill>
      <xdr:spPr>
        <a:xfrm>
          <a:off x="9286875" y="3657600"/>
          <a:ext cx="2828925" cy="466725"/>
        </a:xfrm>
        <a:prstGeom prst="rect">
          <a:avLst/>
        </a:prstGeom>
        <a:noFill/>
        <a:ln w="9525" cmpd="sng">
          <a:noFill/>
        </a:ln>
      </xdr:spPr>
    </xdr:pic>
    <xdr:clientData/>
  </xdr:twoCellAnchor>
  <xdr:twoCellAnchor editAs="oneCell">
    <xdr:from>
      <xdr:col>0</xdr:col>
      <xdr:colOff>0</xdr:colOff>
      <xdr:row>0</xdr:row>
      <xdr:rowOff>0</xdr:rowOff>
    </xdr:from>
    <xdr:to>
      <xdr:col>13</xdr:col>
      <xdr:colOff>476250</xdr:colOff>
      <xdr:row>1</xdr:row>
      <xdr:rowOff>0</xdr:rowOff>
    </xdr:to>
    <xdr:pic>
      <xdr:nvPicPr>
        <xdr:cNvPr id="3" name="Picture 20"/>
        <xdr:cNvPicPr preferRelativeResize="1">
          <a:picLocks noChangeAspect="1"/>
        </xdr:cNvPicPr>
      </xdr:nvPicPr>
      <xdr:blipFill>
        <a:blip r:embed="rId3"/>
        <a:stretch>
          <a:fillRect/>
        </a:stretch>
      </xdr:blipFill>
      <xdr:spPr>
        <a:xfrm>
          <a:off x="0" y="0"/>
          <a:ext cx="12887325" cy="1295400"/>
        </a:xfrm>
        <a:prstGeom prst="rect">
          <a:avLst/>
        </a:prstGeom>
        <a:noFill/>
        <a:ln w="9525" cmpd="sng">
          <a:noFill/>
        </a:ln>
      </xdr:spPr>
    </xdr:pic>
    <xdr:clientData/>
  </xdr:twoCellAnchor>
  <xdr:twoCellAnchor>
    <xdr:from>
      <xdr:col>6</xdr:col>
      <xdr:colOff>866775</xdr:colOff>
      <xdr:row>0</xdr:row>
      <xdr:rowOff>123825</xdr:rowOff>
    </xdr:from>
    <xdr:to>
      <xdr:col>8</xdr:col>
      <xdr:colOff>390525</xdr:colOff>
      <xdr:row>0</xdr:row>
      <xdr:rowOff>285750</xdr:rowOff>
    </xdr:to>
    <xdr:sp>
      <xdr:nvSpPr>
        <xdr:cNvPr id="4" name="AutoShape 21">
          <a:hlinkClick r:id="rId4"/>
        </xdr:cNvPr>
        <xdr:cNvSpPr>
          <a:spLocks/>
        </xdr:cNvSpPr>
      </xdr:nvSpPr>
      <xdr:spPr>
        <a:xfrm>
          <a:off x="8181975" y="123825"/>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9</xdr:col>
      <xdr:colOff>9525</xdr:colOff>
      <xdr:row>0</xdr:row>
      <xdr:rowOff>38100</xdr:rowOff>
    </xdr:from>
    <xdr:to>
      <xdr:col>12</xdr:col>
      <xdr:colOff>676275</xdr:colOff>
      <xdr:row>0</xdr:row>
      <xdr:rowOff>304800</xdr:rowOff>
    </xdr:to>
    <xdr:sp>
      <xdr:nvSpPr>
        <xdr:cNvPr id="5" name="AutoShape 22">
          <a:hlinkClick r:id="rId5"/>
        </xdr:cNvPr>
        <xdr:cNvSpPr>
          <a:spLocks/>
        </xdr:cNvSpPr>
      </xdr:nvSpPr>
      <xdr:spPr>
        <a:xfrm>
          <a:off x="9839325" y="38100"/>
          <a:ext cx="20574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9</xdr:col>
      <xdr:colOff>361950</xdr:colOff>
      <xdr:row>0</xdr:row>
      <xdr:rowOff>1057275</xdr:rowOff>
    </xdr:from>
    <xdr:to>
      <xdr:col>10</xdr:col>
      <xdr:colOff>200025</xdr:colOff>
      <xdr:row>0</xdr:row>
      <xdr:rowOff>1219200</xdr:rowOff>
    </xdr:to>
    <xdr:sp>
      <xdr:nvSpPr>
        <xdr:cNvPr id="6" name="AutoShape 23">
          <a:hlinkClick r:id="rId6"/>
        </xdr:cNvPr>
        <xdr:cNvSpPr>
          <a:spLocks/>
        </xdr:cNvSpPr>
      </xdr:nvSpPr>
      <xdr:spPr>
        <a:xfrm>
          <a:off x="10191750" y="1057275"/>
          <a:ext cx="447675" cy="16192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10</xdr:col>
      <xdr:colOff>523875</xdr:colOff>
      <xdr:row>0</xdr:row>
      <xdr:rowOff>1057275</xdr:rowOff>
    </xdr:from>
    <xdr:to>
      <xdr:col>12</xdr:col>
      <xdr:colOff>361950</xdr:colOff>
      <xdr:row>0</xdr:row>
      <xdr:rowOff>1266825</xdr:rowOff>
    </xdr:to>
    <xdr:sp>
      <xdr:nvSpPr>
        <xdr:cNvPr id="7" name="AutoShape 24">
          <a:hlinkClick r:id="rId7"/>
        </xdr:cNvPr>
        <xdr:cNvSpPr>
          <a:spLocks/>
        </xdr:cNvSpPr>
      </xdr:nvSpPr>
      <xdr:spPr>
        <a:xfrm>
          <a:off x="10963275" y="1057275"/>
          <a:ext cx="619125" cy="20955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647700</xdr:colOff>
      <xdr:row>1</xdr:row>
      <xdr:rowOff>0</xdr:rowOff>
    </xdr:to>
    <xdr:pic>
      <xdr:nvPicPr>
        <xdr:cNvPr id="1" name="Picture 16"/>
        <xdr:cNvPicPr preferRelativeResize="1">
          <a:picLocks noChangeAspect="1"/>
        </xdr:cNvPicPr>
      </xdr:nvPicPr>
      <xdr:blipFill>
        <a:blip r:embed="rId1"/>
        <a:stretch>
          <a:fillRect/>
        </a:stretch>
      </xdr:blipFill>
      <xdr:spPr>
        <a:xfrm>
          <a:off x="0" y="0"/>
          <a:ext cx="12887325" cy="1295400"/>
        </a:xfrm>
        <a:prstGeom prst="rect">
          <a:avLst/>
        </a:prstGeom>
        <a:noFill/>
        <a:ln w="9525" cmpd="sng">
          <a:noFill/>
        </a:ln>
      </xdr:spPr>
    </xdr:pic>
    <xdr:clientData/>
  </xdr:twoCellAnchor>
  <xdr:twoCellAnchor editAs="oneCell">
    <xdr:from>
      <xdr:col>13</xdr:col>
      <xdr:colOff>800100</xdr:colOff>
      <xdr:row>0</xdr:row>
      <xdr:rowOff>0</xdr:rowOff>
    </xdr:from>
    <xdr:to>
      <xdr:col>23</xdr:col>
      <xdr:colOff>161925</xdr:colOff>
      <xdr:row>1</xdr:row>
      <xdr:rowOff>0</xdr:rowOff>
    </xdr:to>
    <xdr:pic>
      <xdr:nvPicPr>
        <xdr:cNvPr id="2" name="Picture 17"/>
        <xdr:cNvPicPr preferRelativeResize="1">
          <a:picLocks noChangeAspect="1"/>
        </xdr:cNvPicPr>
      </xdr:nvPicPr>
      <xdr:blipFill>
        <a:blip r:embed="rId2"/>
        <a:stretch>
          <a:fillRect/>
        </a:stretch>
      </xdr:blipFill>
      <xdr:spPr>
        <a:xfrm>
          <a:off x="12239625" y="0"/>
          <a:ext cx="12877800" cy="1295400"/>
        </a:xfrm>
        <a:prstGeom prst="rect">
          <a:avLst/>
        </a:prstGeom>
        <a:noFill/>
        <a:ln w="9525" cmpd="sng">
          <a:noFill/>
        </a:ln>
      </xdr:spPr>
    </xdr:pic>
    <xdr:clientData/>
  </xdr:twoCellAnchor>
  <xdr:twoCellAnchor>
    <xdr:from>
      <xdr:col>8</xdr:col>
      <xdr:colOff>676275</xdr:colOff>
      <xdr:row>0</xdr:row>
      <xdr:rowOff>133350</xdr:rowOff>
    </xdr:from>
    <xdr:to>
      <xdr:col>10</xdr:col>
      <xdr:colOff>685800</xdr:colOff>
      <xdr:row>0</xdr:row>
      <xdr:rowOff>295275</xdr:rowOff>
    </xdr:to>
    <xdr:sp>
      <xdr:nvSpPr>
        <xdr:cNvPr id="3" name="AutoShape 18">
          <a:hlinkClick r:id="rId3"/>
        </xdr:cNvPr>
        <xdr:cNvSpPr>
          <a:spLocks/>
        </xdr:cNvSpPr>
      </xdr:nvSpPr>
      <xdr:spPr>
        <a:xfrm>
          <a:off x="8181975" y="133350"/>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10</xdr:col>
      <xdr:colOff>885825</xdr:colOff>
      <xdr:row>0</xdr:row>
      <xdr:rowOff>0</xdr:rowOff>
    </xdr:from>
    <xdr:to>
      <xdr:col>13</xdr:col>
      <xdr:colOff>466725</xdr:colOff>
      <xdr:row>0</xdr:row>
      <xdr:rowOff>266700</xdr:rowOff>
    </xdr:to>
    <xdr:sp>
      <xdr:nvSpPr>
        <xdr:cNvPr id="4" name="AutoShape 19">
          <a:hlinkClick r:id="rId4"/>
        </xdr:cNvPr>
        <xdr:cNvSpPr>
          <a:spLocks/>
        </xdr:cNvSpPr>
      </xdr:nvSpPr>
      <xdr:spPr>
        <a:xfrm>
          <a:off x="9820275" y="0"/>
          <a:ext cx="2085975"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11</xdr:col>
      <xdr:colOff>314325</xdr:colOff>
      <xdr:row>0</xdr:row>
      <xdr:rowOff>1076325</xdr:rowOff>
    </xdr:from>
    <xdr:to>
      <xdr:col>11</xdr:col>
      <xdr:colOff>742950</xdr:colOff>
      <xdr:row>0</xdr:row>
      <xdr:rowOff>1238250</xdr:rowOff>
    </xdr:to>
    <xdr:sp>
      <xdr:nvSpPr>
        <xdr:cNvPr id="5" name="AutoShape 20">
          <a:hlinkClick r:id="rId5"/>
        </xdr:cNvPr>
        <xdr:cNvSpPr>
          <a:spLocks/>
        </xdr:cNvSpPr>
      </xdr:nvSpPr>
      <xdr:spPr>
        <a:xfrm>
          <a:off x="10172700" y="1076325"/>
          <a:ext cx="428625" cy="16192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12</xdr:col>
      <xdr:colOff>285750</xdr:colOff>
      <xdr:row>0</xdr:row>
      <xdr:rowOff>1057275</xdr:rowOff>
    </xdr:from>
    <xdr:to>
      <xdr:col>13</xdr:col>
      <xdr:colOff>171450</xdr:colOff>
      <xdr:row>0</xdr:row>
      <xdr:rowOff>1228725</xdr:rowOff>
    </xdr:to>
    <xdr:sp>
      <xdr:nvSpPr>
        <xdr:cNvPr id="6" name="AutoShape 21">
          <a:hlinkClick r:id="rId6"/>
        </xdr:cNvPr>
        <xdr:cNvSpPr>
          <a:spLocks/>
        </xdr:cNvSpPr>
      </xdr:nvSpPr>
      <xdr:spPr>
        <a:xfrm>
          <a:off x="10934700" y="1057275"/>
          <a:ext cx="676275" cy="17145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352425</xdr:colOff>
      <xdr:row>1</xdr:row>
      <xdr:rowOff>0</xdr:rowOff>
    </xdr:to>
    <xdr:pic>
      <xdr:nvPicPr>
        <xdr:cNvPr id="1" name="Picture 45"/>
        <xdr:cNvPicPr preferRelativeResize="1">
          <a:picLocks noChangeAspect="1"/>
        </xdr:cNvPicPr>
      </xdr:nvPicPr>
      <xdr:blipFill>
        <a:blip r:embed="rId1"/>
        <a:stretch>
          <a:fillRect/>
        </a:stretch>
      </xdr:blipFill>
      <xdr:spPr>
        <a:xfrm>
          <a:off x="0" y="0"/>
          <a:ext cx="12887325" cy="1295400"/>
        </a:xfrm>
        <a:prstGeom prst="rect">
          <a:avLst/>
        </a:prstGeom>
        <a:noFill/>
        <a:ln w="9525" cmpd="sng">
          <a:noFill/>
        </a:ln>
      </xdr:spPr>
    </xdr:pic>
    <xdr:clientData/>
  </xdr:twoCellAnchor>
  <xdr:twoCellAnchor editAs="oneCell">
    <xdr:from>
      <xdr:col>14</xdr:col>
      <xdr:colOff>0</xdr:colOff>
      <xdr:row>0</xdr:row>
      <xdr:rowOff>0</xdr:rowOff>
    </xdr:from>
    <xdr:to>
      <xdr:col>19</xdr:col>
      <xdr:colOff>9258300</xdr:colOff>
      <xdr:row>1</xdr:row>
      <xdr:rowOff>0</xdr:rowOff>
    </xdr:to>
    <xdr:pic>
      <xdr:nvPicPr>
        <xdr:cNvPr id="2" name="Picture 46"/>
        <xdr:cNvPicPr preferRelativeResize="1">
          <a:picLocks noChangeAspect="1"/>
        </xdr:cNvPicPr>
      </xdr:nvPicPr>
      <xdr:blipFill>
        <a:blip r:embed="rId2"/>
        <a:stretch>
          <a:fillRect/>
        </a:stretch>
      </xdr:blipFill>
      <xdr:spPr>
        <a:xfrm>
          <a:off x="12534900" y="0"/>
          <a:ext cx="15592425" cy="1295400"/>
        </a:xfrm>
        <a:prstGeom prst="rect">
          <a:avLst/>
        </a:prstGeom>
        <a:noFill/>
        <a:ln w="9525" cmpd="sng">
          <a:noFill/>
        </a:ln>
      </xdr:spPr>
    </xdr:pic>
    <xdr:clientData/>
  </xdr:twoCellAnchor>
  <xdr:twoCellAnchor>
    <xdr:from>
      <xdr:col>8</xdr:col>
      <xdr:colOff>409575</xdr:colOff>
      <xdr:row>0</xdr:row>
      <xdr:rowOff>142875</xdr:rowOff>
    </xdr:from>
    <xdr:to>
      <xdr:col>10</xdr:col>
      <xdr:colOff>419100</xdr:colOff>
      <xdr:row>0</xdr:row>
      <xdr:rowOff>304800</xdr:rowOff>
    </xdr:to>
    <xdr:sp>
      <xdr:nvSpPr>
        <xdr:cNvPr id="3" name="AutoShape 47">
          <a:hlinkClick r:id="rId3"/>
        </xdr:cNvPr>
        <xdr:cNvSpPr>
          <a:spLocks/>
        </xdr:cNvSpPr>
      </xdr:nvSpPr>
      <xdr:spPr>
        <a:xfrm>
          <a:off x="8191500" y="142875"/>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11</xdr:col>
      <xdr:colOff>9525</xdr:colOff>
      <xdr:row>0</xdr:row>
      <xdr:rowOff>1095375</xdr:rowOff>
    </xdr:from>
    <xdr:to>
      <xdr:col>11</xdr:col>
      <xdr:colOff>504825</xdr:colOff>
      <xdr:row>0</xdr:row>
      <xdr:rowOff>1219200</xdr:rowOff>
    </xdr:to>
    <xdr:sp>
      <xdr:nvSpPr>
        <xdr:cNvPr id="4" name="AutoShape 48">
          <a:hlinkClick r:id="rId4"/>
        </xdr:cNvPr>
        <xdr:cNvSpPr>
          <a:spLocks/>
        </xdr:cNvSpPr>
      </xdr:nvSpPr>
      <xdr:spPr>
        <a:xfrm>
          <a:off x="10144125" y="1095375"/>
          <a:ext cx="495300" cy="12382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12</xdr:col>
      <xdr:colOff>28575</xdr:colOff>
      <xdr:row>0</xdr:row>
      <xdr:rowOff>1057275</xdr:rowOff>
    </xdr:from>
    <xdr:to>
      <xdr:col>12</xdr:col>
      <xdr:colOff>638175</xdr:colOff>
      <xdr:row>0</xdr:row>
      <xdr:rowOff>1238250</xdr:rowOff>
    </xdr:to>
    <xdr:sp>
      <xdr:nvSpPr>
        <xdr:cNvPr id="5" name="AutoShape 49">
          <a:hlinkClick r:id="rId5"/>
        </xdr:cNvPr>
        <xdr:cNvSpPr>
          <a:spLocks/>
        </xdr:cNvSpPr>
      </xdr:nvSpPr>
      <xdr:spPr>
        <a:xfrm>
          <a:off x="10963275" y="1057275"/>
          <a:ext cx="609600" cy="18097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10</xdr:col>
      <xdr:colOff>600075</xdr:colOff>
      <xdr:row>0</xdr:row>
      <xdr:rowOff>9525</xdr:rowOff>
    </xdr:from>
    <xdr:to>
      <xdr:col>13</xdr:col>
      <xdr:colOff>200025</xdr:colOff>
      <xdr:row>0</xdr:row>
      <xdr:rowOff>276225</xdr:rowOff>
    </xdr:to>
    <xdr:sp>
      <xdr:nvSpPr>
        <xdr:cNvPr id="6" name="AutoShape 50">
          <a:hlinkClick r:id="rId6"/>
        </xdr:cNvPr>
        <xdr:cNvSpPr>
          <a:spLocks/>
        </xdr:cNvSpPr>
      </xdr:nvSpPr>
      <xdr:spPr>
        <a:xfrm>
          <a:off x="9810750" y="9525"/>
          <a:ext cx="2124075"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jrc.ec.europa.eu/biof/xls/Biofuels%20pathways%20RED%20method%2014Nov2008.xls" TargetMode="External" /><Relationship Id="rId2" Type="http://schemas.openxmlformats.org/officeDocument/2006/relationships/hyperlink" Target="http://ies.jrc.ec.europa.eu/WTW" TargetMode="External" /><Relationship Id="rId3" Type="http://schemas.openxmlformats.org/officeDocument/2006/relationships/hyperlink" Target="http://www.biograce.net./" TargetMode="External" /><Relationship Id="rId4" Type="http://schemas.openxmlformats.org/officeDocument/2006/relationships/hyperlink" Target="http://ec.europa.eu/energy/intellig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2">
    <pageSetUpPr fitToPage="1"/>
  </sheetPr>
  <dimension ref="A1:T105"/>
  <sheetViews>
    <sheetView zoomScale="125" zoomScaleNormal="125" zoomScaleSheetLayoutView="100" workbookViewId="0" topLeftCell="A1">
      <pane ySplit="2" topLeftCell="BM3" activePane="bottomLeft" state="frozen"/>
      <selection pane="topLeft" activeCell="A1" sqref="A1"/>
      <selection pane="bottomLeft" activeCell="A1" sqref="A1"/>
    </sheetView>
  </sheetViews>
  <sheetFormatPr defaultColWidth="11.421875" defaultRowHeight="12.75"/>
  <cols>
    <col min="1" max="1" width="15.00390625" style="454" customWidth="1"/>
    <col min="2" max="2" width="4.28125" style="454" customWidth="1"/>
    <col min="3" max="3" width="46.421875" style="454" customWidth="1"/>
    <col min="4" max="4" width="43.28125" style="454" customWidth="1"/>
    <col min="5" max="11" width="9.140625" style="469" customWidth="1"/>
    <col min="12" max="12" width="9.421875" style="469" bestFit="1" customWidth="1"/>
    <col min="13" max="20" width="9.140625" style="469" customWidth="1"/>
    <col min="21" max="16384" width="9.140625" style="454" customWidth="1"/>
  </cols>
  <sheetData>
    <row r="1" spans="5:20" ht="57.75" customHeight="1">
      <c r="E1" s="2"/>
      <c r="F1" s="2"/>
      <c r="G1" s="2"/>
      <c r="H1" s="2"/>
      <c r="I1" s="2"/>
      <c r="J1" s="2"/>
      <c r="K1" s="2"/>
      <c r="L1" s="2"/>
      <c r="M1" s="2"/>
      <c r="N1" s="2"/>
      <c r="O1" s="2"/>
      <c r="P1" s="2"/>
      <c r="Q1" s="2"/>
      <c r="R1" s="2"/>
      <c r="S1" s="2"/>
      <c r="T1" s="2"/>
    </row>
    <row r="2" spans="1:20" s="456" customFormat="1" ht="22.5" customHeight="1">
      <c r="A2" s="652" t="s">
        <v>272</v>
      </c>
      <c r="B2" s="653"/>
      <c r="C2" s="653"/>
      <c r="D2" s="459" t="s">
        <v>425</v>
      </c>
      <c r="E2" s="2"/>
      <c r="F2" s="2"/>
      <c r="G2" s="2"/>
      <c r="H2" s="2"/>
      <c r="I2" s="2"/>
      <c r="J2" s="2"/>
      <c r="K2" s="2"/>
      <c r="L2" s="2"/>
      <c r="M2" s="2"/>
      <c r="N2" s="2"/>
      <c r="O2" s="2"/>
      <c r="P2" s="2"/>
      <c r="Q2" s="2"/>
      <c r="R2" s="2"/>
      <c r="S2" s="2"/>
      <c r="T2" s="2"/>
    </row>
    <row r="3" spans="1:10" ht="12.75">
      <c r="A3" s="503"/>
      <c r="B3" s="503"/>
      <c r="C3" s="503"/>
      <c r="D3" s="503"/>
      <c r="G3" s="470"/>
      <c r="H3" s="471"/>
      <c r="I3" s="471"/>
      <c r="J3" s="471"/>
    </row>
    <row r="4" spans="1:4" ht="15" customHeight="1">
      <c r="A4" s="654" t="s">
        <v>269</v>
      </c>
      <c r="B4" s="654"/>
      <c r="C4" s="654"/>
      <c r="D4" s="654"/>
    </row>
    <row r="5" spans="1:4" ht="51" customHeight="1">
      <c r="A5" s="655" t="s">
        <v>501</v>
      </c>
      <c r="B5" s="655"/>
      <c r="C5" s="655"/>
      <c r="D5" s="655"/>
    </row>
    <row r="6" spans="1:4" ht="24" customHeight="1">
      <c r="A6" s="650" t="s">
        <v>471</v>
      </c>
      <c r="B6" s="651"/>
      <c r="C6" s="651"/>
      <c r="D6" s="651"/>
    </row>
    <row r="7" spans="1:4" ht="12.75" customHeight="1">
      <c r="A7" s="633" t="s">
        <v>490</v>
      </c>
      <c r="B7" s="633"/>
      <c r="C7" s="633" t="s">
        <v>472</v>
      </c>
      <c r="D7" s="503"/>
    </row>
    <row r="8" spans="1:4" ht="12.75" customHeight="1">
      <c r="A8" s="633" t="s">
        <v>491</v>
      </c>
      <c r="B8" s="633"/>
      <c r="C8" s="633" t="s">
        <v>473</v>
      </c>
      <c r="D8" s="503"/>
    </row>
    <row r="9" spans="1:4" ht="12.75" customHeight="1">
      <c r="A9" s="633" t="s">
        <v>492</v>
      </c>
      <c r="B9" s="633"/>
      <c r="C9" s="633" t="s">
        <v>494</v>
      </c>
      <c r="D9" s="503"/>
    </row>
    <row r="10" spans="1:4" ht="12.75" customHeight="1">
      <c r="A10" s="633" t="s">
        <v>493</v>
      </c>
      <c r="B10" s="633"/>
      <c r="C10" s="633" t="s">
        <v>474</v>
      </c>
      <c r="D10" s="503"/>
    </row>
    <row r="11" spans="1:4" ht="12.75" customHeight="1">
      <c r="A11" s="633"/>
      <c r="B11" s="633"/>
      <c r="C11" s="633"/>
      <c r="D11" s="503"/>
    </row>
    <row r="12" spans="1:4" ht="12.75" customHeight="1">
      <c r="A12" s="633" t="s">
        <v>475</v>
      </c>
      <c r="B12" s="633"/>
      <c r="C12" s="633"/>
      <c r="D12" s="503"/>
    </row>
    <row r="13" spans="1:4" ht="12.75">
      <c r="A13" s="503"/>
      <c r="B13" s="503"/>
      <c r="C13" s="503"/>
      <c r="D13" s="503"/>
    </row>
    <row r="14" spans="1:4" ht="15" customHeight="1">
      <c r="A14" s="654" t="s">
        <v>364</v>
      </c>
      <c r="B14" s="654"/>
      <c r="C14" s="654"/>
      <c r="D14" s="654"/>
    </row>
    <row r="15" spans="1:4" ht="15" customHeight="1">
      <c r="A15" s="630" t="s">
        <v>453</v>
      </c>
      <c r="B15" s="630"/>
      <c r="C15" s="630" t="s">
        <v>454</v>
      </c>
      <c r="D15" s="608"/>
    </row>
    <row r="16" spans="1:4" ht="25.5" customHeight="1">
      <c r="A16" s="458" t="s">
        <v>394</v>
      </c>
      <c r="B16" s="503"/>
      <c r="C16" s="655" t="s">
        <v>408</v>
      </c>
      <c r="D16" s="655"/>
    </row>
    <row r="17" spans="1:4" ht="15" customHeight="1">
      <c r="A17" s="458" t="s">
        <v>44</v>
      </c>
      <c r="B17" s="630"/>
      <c r="C17" s="630" t="s">
        <v>455</v>
      </c>
      <c r="D17" s="503"/>
    </row>
    <row r="18" spans="1:4" ht="12.75">
      <c r="A18" s="503" t="s">
        <v>129</v>
      </c>
      <c r="B18" s="503"/>
      <c r="C18" s="503" t="s">
        <v>356</v>
      </c>
      <c r="D18" s="503"/>
    </row>
    <row r="19" spans="1:4" ht="12.75">
      <c r="A19" s="630" t="s">
        <v>76</v>
      </c>
      <c r="B19" s="630"/>
      <c r="C19" s="630" t="s">
        <v>456</v>
      </c>
      <c r="D19" s="503"/>
    </row>
    <row r="20" spans="1:4" ht="12.75">
      <c r="A20" s="503" t="s">
        <v>342</v>
      </c>
      <c r="B20" s="503"/>
      <c r="C20" s="503" t="s">
        <v>355</v>
      </c>
      <c r="D20" s="503"/>
    </row>
    <row r="21" spans="1:4" ht="24" customHeight="1">
      <c r="A21" s="630" t="s">
        <v>288</v>
      </c>
      <c r="B21" s="503"/>
      <c r="C21" s="655" t="s">
        <v>292</v>
      </c>
      <c r="D21" s="655"/>
    </row>
    <row r="22" spans="1:4" ht="24" customHeight="1">
      <c r="A22" s="503"/>
      <c r="B22" s="503"/>
      <c r="C22" s="655" t="s">
        <v>289</v>
      </c>
      <c r="D22" s="655"/>
    </row>
    <row r="23" spans="1:4" ht="12.75">
      <c r="A23" s="630" t="s">
        <v>457</v>
      </c>
      <c r="B23" s="630"/>
      <c r="C23" s="630" t="s">
        <v>458</v>
      </c>
      <c r="D23" s="503"/>
    </row>
    <row r="24" spans="1:4" ht="12.75">
      <c r="A24" s="503" t="s">
        <v>362</v>
      </c>
      <c r="B24" s="503"/>
      <c r="C24" s="503" t="s">
        <v>363</v>
      </c>
      <c r="D24" s="503"/>
    </row>
    <row r="25" spans="1:4" ht="15" customHeight="1">
      <c r="A25" s="630" t="s">
        <v>459</v>
      </c>
      <c r="B25" s="630"/>
      <c r="C25" s="630" t="s">
        <v>460</v>
      </c>
      <c r="D25" s="630"/>
    </row>
    <row r="26" spans="1:4" ht="24" customHeight="1">
      <c r="A26" s="630" t="s">
        <v>255</v>
      </c>
      <c r="B26" s="503"/>
      <c r="C26" s="655" t="s">
        <v>476</v>
      </c>
      <c r="D26" s="655"/>
    </row>
    <row r="27" spans="1:4" ht="24" customHeight="1">
      <c r="A27" s="503"/>
      <c r="B27" s="503"/>
      <c r="C27" s="655" t="s">
        <v>287</v>
      </c>
      <c r="D27" s="655"/>
    </row>
    <row r="28" spans="1:4" ht="12.75">
      <c r="A28" s="504"/>
      <c r="B28" s="504"/>
      <c r="C28" s="504"/>
      <c r="D28" s="504"/>
    </row>
    <row r="29" spans="1:4" ht="15" customHeight="1">
      <c r="A29" s="654" t="s">
        <v>286</v>
      </c>
      <c r="B29" s="654"/>
      <c r="C29" s="654"/>
      <c r="D29" s="654"/>
    </row>
    <row r="30" spans="1:4" ht="15" customHeight="1">
      <c r="A30" s="656" t="s">
        <v>477</v>
      </c>
      <c r="B30" s="656"/>
      <c r="C30" s="656"/>
      <c r="D30" s="656"/>
    </row>
    <row r="31" spans="1:19" ht="12.75">
      <c r="A31" s="634"/>
      <c r="B31" s="635"/>
      <c r="C31" s="634" t="s">
        <v>478</v>
      </c>
      <c r="D31" s="635"/>
      <c r="E31" s="635"/>
      <c r="F31" s="635"/>
      <c r="G31" s="472"/>
      <c r="H31" s="472"/>
      <c r="I31" s="472"/>
      <c r="J31" s="472"/>
      <c r="K31" s="472"/>
      <c r="L31" s="472"/>
      <c r="M31" s="472"/>
      <c r="N31" s="472"/>
      <c r="O31" s="472"/>
      <c r="P31" s="472"/>
      <c r="Q31" s="472"/>
      <c r="R31" s="472"/>
      <c r="S31" s="472"/>
    </row>
    <row r="32" spans="1:19" ht="12.75">
      <c r="A32" s="656" t="s">
        <v>2</v>
      </c>
      <c r="B32" s="656"/>
      <c r="C32" s="656"/>
      <c r="D32" s="656"/>
      <c r="E32" s="472"/>
      <c r="F32" s="472"/>
      <c r="G32" s="472"/>
      <c r="H32" s="472"/>
      <c r="I32" s="472"/>
      <c r="J32" s="472"/>
      <c r="K32" s="472"/>
      <c r="L32" s="472"/>
      <c r="M32" s="472"/>
      <c r="N32" s="472"/>
      <c r="O32" s="472"/>
      <c r="P32" s="472"/>
      <c r="Q32" s="472"/>
      <c r="R32" s="472"/>
      <c r="S32" s="472"/>
    </row>
    <row r="33" spans="1:4" ht="51" customHeight="1">
      <c r="A33" s="504"/>
      <c r="B33" s="504"/>
      <c r="C33" s="658" t="s">
        <v>409</v>
      </c>
      <c r="D33" s="658"/>
    </row>
    <row r="34" spans="1:4" ht="36" customHeight="1">
      <c r="A34" s="504"/>
      <c r="B34" s="504"/>
      <c r="C34" s="658" t="s">
        <v>461</v>
      </c>
      <c r="D34" s="658"/>
    </row>
    <row r="35" spans="1:4" ht="15" customHeight="1">
      <c r="A35" s="656" t="s">
        <v>4</v>
      </c>
      <c r="B35" s="656"/>
      <c r="C35" s="656"/>
      <c r="D35" s="656"/>
    </row>
    <row r="36" spans="1:4" ht="24" customHeight="1">
      <c r="A36" s="658" t="s">
        <v>5</v>
      </c>
      <c r="B36" s="658"/>
      <c r="C36" s="658"/>
      <c r="D36" s="658"/>
    </row>
    <row r="37" spans="1:4" ht="24" customHeight="1">
      <c r="A37" s="658" t="s">
        <v>462</v>
      </c>
      <c r="B37" s="658"/>
      <c r="C37" s="658"/>
      <c r="D37" s="658"/>
    </row>
    <row r="38" spans="1:4" ht="12.75">
      <c r="A38" s="656" t="s">
        <v>377</v>
      </c>
      <c r="B38" s="656"/>
      <c r="C38" s="656"/>
      <c r="D38" s="657"/>
    </row>
    <row r="39" spans="1:4" ht="24" customHeight="1">
      <c r="A39" s="658" t="str">
        <f>"This "&amp;D2&amp;" of the Excel file does not include guidance for calculation of GHG emissions due to land use change, improved agriculture management, and carbon dioxide capture and geological storage."</f>
        <v>This Version 1 - Public of the Excel file does not include guidance for calculation of GHG emissions due to land use change, improved agriculture management, and carbon dioxide capture and geological storage.</v>
      </c>
      <c r="B39" s="658"/>
      <c r="C39" s="658"/>
      <c r="D39" s="658"/>
    </row>
    <row r="40" spans="1:4" ht="25.5" customHeight="1">
      <c r="A40" s="658" t="s">
        <v>378</v>
      </c>
      <c r="B40" s="658"/>
      <c r="C40" s="658"/>
      <c r="D40" s="658"/>
    </row>
    <row r="41" spans="1:4" ht="12.75">
      <c r="A41" s="504"/>
      <c r="B41" s="504"/>
      <c r="C41" s="504"/>
      <c r="D41" s="504"/>
    </row>
    <row r="42" spans="1:4" ht="15" customHeight="1">
      <c r="A42" s="660" t="s">
        <v>6</v>
      </c>
      <c r="B42" s="660"/>
      <c r="C42" s="660"/>
      <c r="D42" s="660"/>
    </row>
    <row r="43" spans="1:4" ht="36" customHeight="1">
      <c r="A43" s="658" t="s">
        <v>410</v>
      </c>
      <c r="B43" s="658"/>
      <c r="C43" s="658"/>
      <c r="D43" s="658"/>
    </row>
    <row r="44" spans="1:4" ht="12.75" customHeight="1">
      <c r="A44" s="504"/>
      <c r="B44" s="504"/>
      <c r="C44" s="504"/>
      <c r="D44" s="504"/>
    </row>
    <row r="45" spans="1:4" ht="24" customHeight="1">
      <c r="A45" s="658" t="s">
        <v>7</v>
      </c>
      <c r="B45" s="658"/>
      <c r="C45" s="658"/>
      <c r="D45" s="658"/>
    </row>
    <row r="46" spans="1:4" ht="12.75">
      <c r="A46" s="658" t="s">
        <v>479</v>
      </c>
      <c r="B46" s="658"/>
      <c r="C46" s="658"/>
      <c r="D46" s="658"/>
    </row>
    <row r="47" spans="1:4" ht="12.75">
      <c r="A47" s="659" t="s">
        <v>480</v>
      </c>
      <c r="B47" s="659"/>
      <c r="C47" s="659"/>
      <c r="D47" s="659"/>
    </row>
    <row r="48" spans="1:4" ht="12.75">
      <c r="A48" s="658" t="s">
        <v>495</v>
      </c>
      <c r="B48" s="658"/>
      <c r="C48" s="658"/>
      <c r="D48" s="658"/>
    </row>
    <row r="49" spans="1:20" s="509" customFormat="1" ht="51" customHeight="1">
      <c r="A49" s="659" t="s">
        <v>481</v>
      </c>
      <c r="B49" s="659"/>
      <c r="C49" s="659"/>
      <c r="D49" s="659"/>
      <c r="E49" s="508"/>
      <c r="F49" s="508"/>
      <c r="G49" s="508"/>
      <c r="H49" s="508"/>
      <c r="I49" s="508"/>
      <c r="J49" s="508"/>
      <c r="K49" s="508"/>
      <c r="L49" s="508"/>
      <c r="M49" s="508"/>
      <c r="N49" s="508"/>
      <c r="O49" s="508"/>
      <c r="P49" s="508"/>
      <c r="Q49" s="508"/>
      <c r="R49" s="508"/>
      <c r="S49" s="508"/>
      <c r="T49" s="508"/>
    </row>
    <row r="50" spans="1:4" ht="12.75">
      <c r="A50" s="504"/>
      <c r="B50" s="504"/>
      <c r="C50" s="504"/>
      <c r="D50" s="504"/>
    </row>
    <row r="51" spans="1:4" ht="12.75">
      <c r="A51" s="660" t="s">
        <v>290</v>
      </c>
      <c r="B51" s="660"/>
      <c r="C51" s="660"/>
      <c r="D51" s="660"/>
    </row>
    <row r="52" spans="1:4" ht="12.75">
      <c r="A52" s="658" t="s">
        <v>291</v>
      </c>
      <c r="B52" s="658"/>
      <c r="C52" s="658"/>
      <c r="D52" s="658"/>
    </row>
    <row r="53" spans="1:19" ht="12.75">
      <c r="A53" s="661" t="s">
        <v>374</v>
      </c>
      <c r="B53" s="661"/>
      <c r="C53" s="661"/>
      <c r="D53" s="661"/>
      <c r="E53" s="472"/>
      <c r="F53" s="472"/>
      <c r="G53" s="472"/>
      <c r="H53" s="472"/>
      <c r="I53" s="472"/>
      <c r="J53" s="472"/>
      <c r="K53" s="472"/>
      <c r="L53" s="472"/>
      <c r="M53" s="472"/>
      <c r="N53" s="472"/>
      <c r="O53" s="472"/>
      <c r="P53" s="472"/>
      <c r="Q53" s="472"/>
      <c r="R53" s="472"/>
      <c r="S53" s="472"/>
    </row>
    <row r="54" spans="1:19" ht="12.75">
      <c r="A54" s="659" t="s">
        <v>411</v>
      </c>
      <c r="B54" s="659"/>
      <c r="C54" s="659"/>
      <c r="D54" s="659"/>
      <c r="K54" s="472"/>
      <c r="L54" s="472"/>
      <c r="M54" s="472"/>
      <c r="N54" s="472"/>
      <c r="O54" s="472"/>
      <c r="P54" s="472"/>
      <c r="Q54" s="472"/>
      <c r="R54" s="472"/>
      <c r="S54" s="472"/>
    </row>
    <row r="55" spans="1:19" ht="12.75">
      <c r="A55" s="663" t="s">
        <v>283</v>
      </c>
      <c r="B55" s="663"/>
      <c r="C55" s="663"/>
      <c r="D55" s="663"/>
      <c r="K55" s="472"/>
      <c r="L55" s="472"/>
      <c r="M55" s="472"/>
      <c r="N55" s="472"/>
      <c r="O55" s="472"/>
      <c r="P55" s="472"/>
      <c r="Q55" s="472"/>
      <c r="R55" s="472"/>
      <c r="S55" s="472"/>
    </row>
    <row r="56" spans="1:19" ht="54" customHeight="1">
      <c r="A56" s="659" t="s">
        <v>499</v>
      </c>
      <c r="B56" s="659"/>
      <c r="C56" s="659"/>
      <c r="D56" s="659"/>
      <c r="E56" s="472"/>
      <c r="F56" s="472"/>
      <c r="G56" s="472"/>
      <c r="H56" s="472"/>
      <c r="I56" s="472"/>
      <c r="J56" s="472"/>
      <c r="K56" s="472"/>
      <c r="L56" s="472"/>
      <c r="M56" s="472"/>
      <c r="N56" s="472"/>
      <c r="O56" s="472"/>
      <c r="P56" s="472"/>
      <c r="Q56" s="472"/>
      <c r="R56" s="472"/>
      <c r="S56" s="472"/>
    </row>
    <row r="57" spans="1:19" ht="36" customHeight="1">
      <c r="A57" s="659" t="s">
        <v>482</v>
      </c>
      <c r="B57" s="659"/>
      <c r="C57" s="659"/>
      <c r="D57" s="659"/>
      <c r="E57" s="472"/>
      <c r="F57" s="472"/>
      <c r="G57" s="472"/>
      <c r="H57" s="472"/>
      <c r="I57" s="472"/>
      <c r="J57" s="472"/>
      <c r="K57" s="472"/>
      <c r="L57" s="472"/>
      <c r="M57" s="472"/>
      <c r="N57" s="472"/>
      <c r="O57" s="472"/>
      <c r="P57" s="472"/>
      <c r="Q57" s="472"/>
      <c r="R57" s="472"/>
      <c r="S57" s="472"/>
    </row>
    <row r="58" spans="1:4" ht="12.75">
      <c r="A58" s="658" t="s">
        <v>284</v>
      </c>
      <c r="B58" s="658"/>
      <c r="C58" s="658"/>
      <c r="D58" s="658"/>
    </row>
    <row r="59" spans="1:12" ht="12.75">
      <c r="A59" s="662" t="s">
        <v>500</v>
      </c>
      <c r="B59" s="659"/>
      <c r="C59" s="659"/>
      <c r="D59" s="659"/>
      <c r="J59" s="472"/>
      <c r="K59" s="472"/>
      <c r="L59" s="472"/>
    </row>
    <row r="60" spans="1:12" ht="12.75">
      <c r="A60" s="663" t="s">
        <v>285</v>
      </c>
      <c r="B60" s="664"/>
      <c r="C60" s="664"/>
      <c r="D60" s="507"/>
      <c r="J60" s="472"/>
      <c r="K60" s="472"/>
      <c r="L60" s="472"/>
    </row>
    <row r="61" spans="1:4" ht="24" customHeight="1">
      <c r="A61" s="659" t="s">
        <v>412</v>
      </c>
      <c r="B61" s="659"/>
      <c r="C61" s="659"/>
      <c r="D61" s="659"/>
    </row>
    <row r="62" spans="1:4" ht="27.75" customHeight="1">
      <c r="A62" s="659" t="s">
        <v>413</v>
      </c>
      <c r="B62" s="659"/>
      <c r="C62" s="659"/>
      <c r="D62" s="659"/>
    </row>
    <row r="63" spans="1:4" ht="12.75" customHeight="1">
      <c r="A63" s="658" t="s">
        <v>486</v>
      </c>
      <c r="B63" s="658"/>
      <c r="C63" s="658"/>
      <c r="D63" s="658"/>
    </row>
    <row r="64" spans="1:4" ht="51" customHeight="1">
      <c r="A64" s="659" t="s">
        <v>414</v>
      </c>
      <c r="B64" s="659"/>
      <c r="C64" s="659"/>
      <c r="D64" s="659"/>
    </row>
    <row r="65" spans="1:4" ht="48" customHeight="1">
      <c r="A65" s="659" t="s">
        <v>496</v>
      </c>
      <c r="B65" s="659"/>
      <c r="C65" s="659"/>
      <c r="D65" s="659"/>
    </row>
    <row r="66" spans="1:4" ht="12.75">
      <c r="A66" s="505"/>
      <c r="B66" s="504"/>
      <c r="C66" s="504"/>
      <c r="D66" s="504"/>
    </row>
    <row r="67" spans="1:4" ht="12.75">
      <c r="A67" s="660" t="s">
        <v>375</v>
      </c>
      <c r="B67" s="660"/>
      <c r="C67" s="660"/>
      <c r="D67" s="660"/>
    </row>
    <row r="68" spans="1:4" ht="64.5" customHeight="1">
      <c r="A68" s="658" t="s">
        <v>415</v>
      </c>
      <c r="B68" s="658"/>
      <c r="C68" s="658"/>
      <c r="D68" s="658"/>
    </row>
    <row r="69" spans="1:4" ht="12" customHeight="1">
      <c r="A69" s="504"/>
      <c r="B69" s="504"/>
      <c r="C69" s="504"/>
      <c r="D69" s="504"/>
    </row>
    <row r="70" spans="1:4" ht="15" customHeight="1">
      <c r="A70" s="658" t="s">
        <v>487</v>
      </c>
      <c r="B70" s="658"/>
      <c r="C70" s="658"/>
      <c r="D70" s="658"/>
    </row>
    <row r="71" spans="1:4" ht="12.75">
      <c r="A71" s="658" t="s">
        <v>483</v>
      </c>
      <c r="B71" s="658"/>
      <c r="C71" s="658"/>
      <c r="D71" s="658"/>
    </row>
    <row r="72" spans="1:4" ht="12.75" customHeight="1">
      <c r="A72" s="665" t="s">
        <v>498</v>
      </c>
      <c r="B72" s="665"/>
      <c r="C72" s="665"/>
      <c r="D72" s="665"/>
    </row>
    <row r="73" spans="1:4" ht="12.75">
      <c r="A73" s="658" t="s">
        <v>484</v>
      </c>
      <c r="B73" s="658"/>
      <c r="C73" s="658"/>
      <c r="D73" s="658"/>
    </row>
    <row r="74" spans="1:4" ht="12.75" customHeight="1">
      <c r="A74" s="665" t="s">
        <v>497</v>
      </c>
      <c r="B74" s="665"/>
      <c r="C74" s="665"/>
      <c r="D74" s="665"/>
    </row>
    <row r="75" spans="1:4" ht="24" customHeight="1" thickBot="1">
      <c r="A75" s="658" t="s">
        <v>485</v>
      </c>
      <c r="B75" s="658"/>
      <c r="C75" s="658"/>
      <c r="D75" s="658"/>
    </row>
    <row r="76" spans="1:4" ht="13.5" thickBot="1">
      <c r="A76" s="504"/>
      <c r="B76" s="506">
        <f>IF(N77,0,1)</f>
        <v>0</v>
      </c>
      <c r="C76" s="504"/>
      <c r="D76" s="504"/>
    </row>
    <row r="77" spans="1:14" ht="12.75">
      <c r="A77" s="658" t="s">
        <v>416</v>
      </c>
      <c r="B77" s="658"/>
      <c r="C77" s="658"/>
      <c r="D77" s="658"/>
      <c r="N77" s="473" t="b">
        <v>1</v>
      </c>
    </row>
    <row r="78" spans="1:14" ht="12.75">
      <c r="A78" s="504"/>
      <c r="B78" s="504"/>
      <c r="C78" s="504"/>
      <c r="D78" s="504"/>
      <c r="N78" s="473"/>
    </row>
    <row r="79" spans="1:4" ht="36" customHeight="1">
      <c r="A79" s="658" t="s">
        <v>488</v>
      </c>
      <c r="B79" s="658"/>
      <c r="C79" s="658"/>
      <c r="D79" s="658"/>
    </row>
    <row r="80" spans="1:4" ht="12.75">
      <c r="A80" s="504"/>
      <c r="B80" s="504"/>
      <c r="C80" s="504"/>
      <c r="D80" s="504"/>
    </row>
    <row r="81" spans="1:4" ht="12.75">
      <c r="A81" s="660" t="s">
        <v>8</v>
      </c>
      <c r="B81" s="660"/>
      <c r="C81" s="660"/>
      <c r="D81" s="660"/>
    </row>
    <row r="82" spans="1:4" ht="12.75">
      <c r="A82" s="658" t="s">
        <v>489</v>
      </c>
      <c r="B82" s="658"/>
      <c r="C82" s="658"/>
      <c r="D82" s="658"/>
    </row>
    <row r="83" spans="1:4" ht="12.75">
      <c r="A83" s="649" t="s">
        <v>0</v>
      </c>
      <c r="B83" s="649"/>
      <c r="C83" s="649"/>
      <c r="D83" s="649"/>
    </row>
    <row r="84" spans="1:4" ht="18" customHeight="1">
      <c r="A84" s="504"/>
      <c r="B84" s="504"/>
      <c r="C84" s="504"/>
      <c r="D84" s="504"/>
    </row>
    <row r="85" spans="1:4" ht="12.75">
      <c r="A85" s="660" t="s">
        <v>9</v>
      </c>
      <c r="B85" s="660"/>
      <c r="C85" s="660"/>
      <c r="D85" s="660"/>
    </row>
    <row r="86" spans="1:4" ht="12.75">
      <c r="A86" s="658" t="s">
        <v>10</v>
      </c>
      <c r="B86" s="658"/>
      <c r="C86" s="658"/>
      <c r="D86" s="658"/>
    </row>
    <row r="87" spans="1:4" ht="12.75">
      <c r="A87" s="649" t="s">
        <v>11</v>
      </c>
      <c r="B87" s="658"/>
      <c r="C87" s="658"/>
      <c r="D87" s="658"/>
    </row>
    <row r="88" spans="1:4" ht="57" customHeight="1">
      <c r="A88" s="504"/>
      <c r="B88" s="504"/>
      <c r="C88" s="504"/>
      <c r="D88" s="504"/>
    </row>
    <row r="89" spans="1:4" ht="24" customHeight="1">
      <c r="A89" s="666" t="s">
        <v>1</v>
      </c>
      <c r="B89" s="666"/>
      <c r="C89" s="666"/>
      <c r="D89" s="666"/>
    </row>
    <row r="90" spans="1:4" ht="12.75">
      <c r="A90" s="455"/>
      <c r="B90" s="455"/>
      <c r="C90" s="455"/>
      <c r="D90" s="455"/>
    </row>
    <row r="91" spans="1:4" ht="12.75">
      <c r="A91" s="455"/>
      <c r="B91" s="455"/>
      <c r="C91" s="510"/>
      <c r="D91" s="455"/>
    </row>
    <row r="92" spans="1:16" ht="12.75">
      <c r="A92" s="455"/>
      <c r="B92" s="455"/>
      <c r="C92" s="455"/>
      <c r="D92" s="455"/>
      <c r="N92" s="472"/>
      <c r="O92" s="472"/>
      <c r="P92" s="472"/>
    </row>
    <row r="93" spans="1:4" ht="12.75">
      <c r="A93" s="455"/>
      <c r="B93" s="455"/>
      <c r="C93" s="455"/>
      <c r="D93" s="455"/>
    </row>
    <row r="94" spans="1:7" ht="12.75">
      <c r="A94" s="455"/>
      <c r="B94" s="455"/>
      <c r="C94" s="455"/>
      <c r="D94" s="455"/>
      <c r="G94" s="474"/>
    </row>
    <row r="95" spans="1:7" ht="12.75">
      <c r="A95" s="455"/>
      <c r="B95" s="455"/>
      <c r="C95" s="455"/>
      <c r="D95" s="455"/>
      <c r="G95" s="475"/>
    </row>
    <row r="96" spans="1:7" ht="12.75">
      <c r="A96" s="469"/>
      <c r="B96" s="469"/>
      <c r="C96" s="469"/>
      <c r="D96" s="469"/>
      <c r="G96" s="474"/>
    </row>
    <row r="97" spans="1:7" ht="12.75">
      <c r="A97" s="469"/>
      <c r="B97" s="469"/>
      <c r="C97" s="469"/>
      <c r="D97" s="469"/>
      <c r="G97" s="476"/>
    </row>
    <row r="98" spans="1:4" ht="12.75">
      <c r="A98" s="469"/>
      <c r="B98" s="469"/>
      <c r="C98" s="469"/>
      <c r="D98" s="469"/>
    </row>
    <row r="99" spans="1:4" ht="12.75">
      <c r="A99" s="469"/>
      <c r="B99" s="469"/>
      <c r="C99" s="469"/>
      <c r="D99" s="469"/>
    </row>
    <row r="100" spans="1:4" ht="12.75">
      <c r="A100" s="469"/>
      <c r="B100" s="469"/>
      <c r="C100" s="469"/>
      <c r="D100" s="469"/>
    </row>
    <row r="101" spans="1:4" ht="12.75">
      <c r="A101" s="469"/>
      <c r="B101" s="469"/>
      <c r="C101" s="469"/>
      <c r="D101" s="469"/>
    </row>
    <row r="102" spans="1:4" ht="12.75">
      <c r="A102" s="469"/>
      <c r="B102" s="469"/>
      <c r="C102" s="469"/>
      <c r="D102" s="469"/>
    </row>
    <row r="103" spans="1:4" ht="12.75">
      <c r="A103" s="469"/>
      <c r="B103" s="469"/>
      <c r="C103" s="469"/>
      <c r="D103" s="469"/>
    </row>
    <row r="104" spans="1:4" ht="12.75">
      <c r="A104" s="469"/>
      <c r="B104" s="469"/>
      <c r="C104" s="469"/>
      <c r="D104" s="469"/>
    </row>
    <row r="105" spans="1:4" ht="12.75">
      <c r="A105" s="469"/>
      <c r="B105" s="469"/>
      <c r="C105" s="469"/>
      <c r="D105" s="469"/>
    </row>
  </sheetData>
  <sheetProtection/>
  <mergeCells count="60">
    <mergeCell ref="A6:D6"/>
    <mergeCell ref="A30:D30"/>
    <mergeCell ref="A47:D47"/>
    <mergeCell ref="A77:D77"/>
    <mergeCell ref="A70:D70"/>
    <mergeCell ref="A71:D71"/>
    <mergeCell ref="A55:D55"/>
    <mergeCell ref="A67:D67"/>
    <mergeCell ref="A62:D62"/>
    <mergeCell ref="A63:D63"/>
    <mergeCell ref="A89:D89"/>
    <mergeCell ref="A83:D83"/>
    <mergeCell ref="A85:D85"/>
    <mergeCell ref="A86:D86"/>
    <mergeCell ref="A87:D87"/>
    <mergeCell ref="A82:D82"/>
    <mergeCell ref="A72:D72"/>
    <mergeCell ref="A73:D73"/>
    <mergeCell ref="A74:D74"/>
    <mergeCell ref="A75:D75"/>
    <mergeCell ref="A79:D79"/>
    <mergeCell ref="A81:D81"/>
    <mergeCell ref="A68:D68"/>
    <mergeCell ref="A58:D58"/>
    <mergeCell ref="A59:D59"/>
    <mergeCell ref="A61:D61"/>
    <mergeCell ref="A60:C60"/>
    <mergeCell ref="A65:D65"/>
    <mergeCell ref="A64:D64"/>
    <mergeCell ref="A54:D54"/>
    <mergeCell ref="A56:D56"/>
    <mergeCell ref="A57:D57"/>
    <mergeCell ref="A42:D42"/>
    <mergeCell ref="A48:D48"/>
    <mergeCell ref="A46:D46"/>
    <mergeCell ref="A49:D49"/>
    <mergeCell ref="A51:D51"/>
    <mergeCell ref="A52:D52"/>
    <mergeCell ref="A53:D53"/>
    <mergeCell ref="A43:D43"/>
    <mergeCell ref="A45:D45"/>
    <mergeCell ref="A40:D40"/>
    <mergeCell ref="A37:D37"/>
    <mergeCell ref="A39:D39"/>
    <mergeCell ref="A29:D29"/>
    <mergeCell ref="A38:D38"/>
    <mergeCell ref="C33:D33"/>
    <mergeCell ref="C34:D34"/>
    <mergeCell ref="A35:D35"/>
    <mergeCell ref="A36:D36"/>
    <mergeCell ref="A2:C2"/>
    <mergeCell ref="A4:D4"/>
    <mergeCell ref="A5:D5"/>
    <mergeCell ref="A32:D32"/>
    <mergeCell ref="A14:D14"/>
    <mergeCell ref="C16:D16"/>
    <mergeCell ref="C21:D21"/>
    <mergeCell ref="C22:D22"/>
    <mergeCell ref="C26:D26"/>
    <mergeCell ref="C27:D27"/>
  </mergeCells>
  <hyperlinks>
    <hyperlink ref="A55" r:id="rId1" display="http://re.jrc.ec.europa.eu/biof/xls/Biofuels%20pathways%20RED%20method%2014Nov2008.xls"/>
    <hyperlink ref="A60" r:id="rId2" display="http://ies.jrc.ec.europa.eu/WTW"/>
    <hyperlink ref="A83" r:id="rId3" display="www.biograce.net."/>
    <hyperlink ref="A87" r:id="rId4" display="http://ec.europa.eu/energy/intelligent/"/>
  </hyperlinks>
  <printOptions/>
  <pageMargins left="0.5905511811023623" right="0.3937007874015748" top="0.7874015748031497" bottom="0.7874015748031497" header="0.5118110236220472" footer="0.5118110236220472"/>
  <pageSetup fitToHeight="0" fitToWidth="1" horizontalDpi="600" verticalDpi="600" orientation="portrait" paperSize="9" scale="87" r:id="rId6"/>
  <headerFooter alignWithMargins="0">
    <oddFooter>&amp;L&amp;8&amp;F&amp;C&amp;8&amp;A&amp;R&amp;8page&amp;P</oddFooter>
  </headerFooter>
  <rowBreaks count="2" manualBreakCount="2">
    <brk id="41" max="3" man="1"/>
    <brk id="80" max="3" man="1"/>
  </rowBreaks>
  <drawing r:id="rId5"/>
</worksheet>
</file>

<file path=xl/worksheets/sheet2.xml><?xml version="1.0" encoding="utf-8"?>
<worksheet xmlns="http://schemas.openxmlformats.org/spreadsheetml/2006/main" xmlns:r="http://schemas.openxmlformats.org/officeDocument/2006/relationships">
  <sheetPr codeName="Blad4">
    <pageSetUpPr fitToPage="1"/>
  </sheetPr>
  <dimension ref="A1:Q31"/>
  <sheetViews>
    <sheetView tabSelected="1" zoomScaleSheetLayoutView="100" zoomScalePageLayoutView="0" workbookViewId="0" topLeftCell="A1">
      <selection activeCell="B3" sqref="B3"/>
    </sheetView>
  </sheetViews>
  <sheetFormatPr defaultColWidth="11.421875" defaultRowHeight="12.75"/>
  <cols>
    <col min="1" max="1" width="30.421875" style="129" customWidth="1"/>
    <col min="2" max="2" width="45.7109375" style="129" customWidth="1"/>
    <col min="3" max="3" width="16.28125" style="129" customWidth="1"/>
    <col min="4" max="4" width="13.00390625" style="129" customWidth="1"/>
    <col min="5" max="16384" width="11.421875" style="129" customWidth="1"/>
  </cols>
  <sheetData>
    <row r="1" spans="14:17" ht="69.75" customHeight="1">
      <c r="N1"/>
      <c r="O1"/>
      <c r="P1"/>
      <c r="Q1"/>
    </row>
    <row r="2" spans="1:17" ht="27.75" customHeight="1">
      <c r="A2" s="636" t="s">
        <v>506</v>
      </c>
      <c r="B2" s="461"/>
      <c r="C2" s="462"/>
      <c r="D2" s="462"/>
      <c r="E2" s="462"/>
      <c r="F2" s="463"/>
      <c r="G2" s="464"/>
      <c r="H2" s="637"/>
      <c r="I2" s="637"/>
      <c r="N2"/>
      <c r="O2"/>
      <c r="P2"/>
      <c r="Q2"/>
    </row>
    <row r="3" spans="1:17" ht="15">
      <c r="A3" s="639" t="s">
        <v>507</v>
      </c>
      <c r="N3"/>
      <c r="O3"/>
      <c r="P3"/>
      <c r="Q3"/>
    </row>
    <row r="4" spans="1:17" ht="14.25">
      <c r="A4" s="465"/>
      <c r="B4" s="460"/>
      <c r="C4" s="466"/>
      <c r="D4" s="466"/>
      <c r="N4"/>
      <c r="O4"/>
      <c r="P4"/>
      <c r="Q4"/>
    </row>
    <row r="5" spans="1:17" ht="14.25">
      <c r="A5" s="646">
        <v>1</v>
      </c>
      <c r="B5" s="647" t="s">
        <v>439</v>
      </c>
      <c r="C5" s="466"/>
      <c r="D5" s="466"/>
      <c r="N5"/>
      <c r="O5"/>
      <c r="P5"/>
      <c r="Q5"/>
    </row>
    <row r="6" spans="1:17" ht="15">
      <c r="A6" s="646">
        <v>2</v>
      </c>
      <c r="B6" s="647" t="s">
        <v>508</v>
      </c>
      <c r="C6" s="467"/>
      <c r="D6" s="468"/>
      <c r="N6"/>
      <c r="O6"/>
      <c r="P6"/>
      <c r="Q6"/>
    </row>
    <row r="7" spans="1:4" ht="15">
      <c r="A7" s="638">
        <v>3</v>
      </c>
      <c r="B7" s="644" t="s">
        <v>440</v>
      </c>
      <c r="C7" s="467"/>
      <c r="D7" s="468"/>
    </row>
    <row r="8" spans="1:4" ht="15">
      <c r="A8" s="646">
        <v>4</v>
      </c>
      <c r="B8" s="648" t="s">
        <v>441</v>
      </c>
      <c r="C8" s="467"/>
      <c r="D8" s="468"/>
    </row>
    <row r="9" spans="1:4" ht="15">
      <c r="A9" s="646">
        <v>5</v>
      </c>
      <c r="B9" s="648" t="s">
        <v>442</v>
      </c>
      <c r="C9" s="467"/>
      <c r="D9" s="468"/>
    </row>
    <row r="10" spans="1:4" ht="15">
      <c r="A10" s="646">
        <v>6</v>
      </c>
      <c r="B10" s="647" t="s">
        <v>443</v>
      </c>
      <c r="C10" s="467"/>
      <c r="D10" s="468"/>
    </row>
    <row r="11" spans="1:4" ht="15">
      <c r="A11" s="638">
        <v>7</v>
      </c>
      <c r="B11" s="645" t="s">
        <v>444</v>
      </c>
      <c r="C11" s="467"/>
      <c r="D11" s="468"/>
    </row>
    <row r="12" spans="1:4" ht="15">
      <c r="A12" s="646">
        <v>8</v>
      </c>
      <c r="B12" s="648" t="s">
        <v>254</v>
      </c>
      <c r="C12" s="467"/>
      <c r="D12" s="468"/>
    </row>
    <row r="13" spans="1:4" ht="15">
      <c r="A13" s="638">
        <v>9</v>
      </c>
      <c r="B13" s="645" t="s">
        <v>433</v>
      </c>
      <c r="C13" s="467"/>
      <c r="D13" s="468"/>
    </row>
    <row r="14" spans="1:4" ht="15">
      <c r="A14" s="646">
        <v>10</v>
      </c>
      <c r="B14" s="648" t="s">
        <v>434</v>
      </c>
      <c r="C14" s="467"/>
      <c r="D14" s="468"/>
    </row>
    <row r="15" spans="1:4" ht="15">
      <c r="A15" s="646">
        <v>11</v>
      </c>
      <c r="B15" s="646" t="s">
        <v>435</v>
      </c>
      <c r="C15" s="467"/>
      <c r="D15" s="468"/>
    </row>
    <row r="16" spans="1:4" ht="15">
      <c r="A16" s="646">
        <v>12</v>
      </c>
      <c r="B16" s="647" t="s">
        <v>436</v>
      </c>
      <c r="C16" s="467"/>
      <c r="D16" s="468"/>
    </row>
    <row r="17" spans="1:4" ht="15">
      <c r="A17" s="646">
        <v>13</v>
      </c>
      <c r="B17" s="648" t="s">
        <v>437</v>
      </c>
      <c r="C17" s="467"/>
      <c r="D17" s="468"/>
    </row>
    <row r="18" spans="1:4" ht="15">
      <c r="A18" s="646">
        <v>14</v>
      </c>
      <c r="B18" s="647" t="s">
        <v>438</v>
      </c>
      <c r="C18" s="467"/>
      <c r="D18" s="468"/>
    </row>
    <row r="19" spans="1:4" ht="15">
      <c r="A19" s="646">
        <v>15</v>
      </c>
      <c r="B19" s="648" t="s">
        <v>445</v>
      </c>
      <c r="C19" s="467"/>
      <c r="D19" s="468"/>
    </row>
    <row r="20" spans="1:4" ht="15">
      <c r="A20" s="638">
        <v>16</v>
      </c>
      <c r="B20" s="645" t="s">
        <v>446</v>
      </c>
      <c r="C20" s="467"/>
      <c r="D20" s="468"/>
    </row>
    <row r="21" spans="1:4" ht="15">
      <c r="A21" s="646">
        <v>17</v>
      </c>
      <c r="B21" s="648" t="s">
        <v>447</v>
      </c>
      <c r="C21" s="467"/>
      <c r="D21" s="468"/>
    </row>
    <row r="22" spans="1:4" ht="15">
      <c r="A22" s="646">
        <v>18</v>
      </c>
      <c r="B22" s="646" t="s">
        <v>448</v>
      </c>
      <c r="C22" s="467"/>
      <c r="D22" s="468"/>
    </row>
    <row r="23" spans="1:4" ht="15">
      <c r="A23" s="646">
        <v>19</v>
      </c>
      <c r="B23" s="648" t="s">
        <v>449</v>
      </c>
      <c r="C23" s="467"/>
      <c r="D23" s="468"/>
    </row>
    <row r="24" spans="1:4" ht="15">
      <c r="A24" s="646">
        <v>20</v>
      </c>
      <c r="B24" s="648" t="s">
        <v>450</v>
      </c>
      <c r="C24" s="467"/>
      <c r="D24" s="468"/>
    </row>
    <row r="25" spans="1:4" ht="15">
      <c r="A25" s="646">
        <v>21</v>
      </c>
      <c r="B25" s="647" t="s">
        <v>451</v>
      </c>
      <c r="C25" s="467"/>
      <c r="D25" s="468"/>
    </row>
    <row r="26" spans="1:4" ht="15">
      <c r="A26" s="646">
        <v>22</v>
      </c>
      <c r="B26" s="648" t="s">
        <v>452</v>
      </c>
      <c r="C26" s="467"/>
      <c r="D26" s="468"/>
    </row>
    <row r="27" spans="1:3" ht="14.25">
      <c r="A27" s="643"/>
      <c r="B27" s="460"/>
      <c r="C27" s="130"/>
    </row>
    <row r="28" spans="1:3" ht="15">
      <c r="A28" s="640" t="s">
        <v>372</v>
      </c>
      <c r="C28" s="467"/>
    </row>
    <row r="29" spans="1:3" ht="15">
      <c r="A29" s="643"/>
      <c r="B29" s="460"/>
      <c r="C29" s="467"/>
    </row>
    <row r="30" spans="1:3" ht="15">
      <c r="A30" s="641" t="s">
        <v>255</v>
      </c>
      <c r="C30" s="467"/>
    </row>
    <row r="31" spans="1:3" ht="15">
      <c r="A31" s="642" t="s">
        <v>240</v>
      </c>
      <c r="C31" s="467"/>
    </row>
  </sheetData>
  <sheetProtection password="9D8F" sheet="1" objects="1" scenarios="1"/>
  <hyperlinks>
    <hyperlink ref="B7" location="'E-Wt (NG-b)'!A1" display="Ethanol from wheat (natural gas steam boiler)"/>
    <hyperlink ref="A30" location="'Standard values'!A1" display="Standard values"/>
    <hyperlink ref="A31" location="'User defined standard values'!A1" display="User defined standard values"/>
    <hyperlink ref="B20" location="'H-Rs'!A1" display="HVO from rape seed"/>
    <hyperlink ref="B13" location="'F-Rs'!A1" display="FAME from rape seed"/>
    <hyperlink ref="A28" location="About!A1" display="About"/>
    <hyperlink ref="B11" location="'E-Sb'!A1" display="Ethanol from sugar beet"/>
  </hyperlinks>
  <printOptions/>
  <pageMargins left="0.7480314960629921" right="0.7480314960629921" top="0.4724409448818898" bottom="0.9055118110236221" header="0.5118110236220472" footer="0.6299212598425197"/>
  <pageSetup fitToHeight="1" fitToWidth="1" horizontalDpi="600" verticalDpi="600" orientation="landscape" paperSize="9" scale="95" r:id="rId2"/>
  <headerFooter alignWithMargins="0">
    <oddFooter>&amp;L&amp;8&amp;F&amp;C&amp;8&amp;A&amp;R&amp;8page&amp;P</oddFooter>
  </headerFooter>
  <drawing r:id="rId1"/>
</worksheet>
</file>

<file path=xl/worksheets/sheet3.xml><?xml version="1.0" encoding="utf-8"?>
<worksheet xmlns="http://schemas.openxmlformats.org/spreadsheetml/2006/main" xmlns:r="http://schemas.openxmlformats.org/officeDocument/2006/relationships">
  <sheetPr codeName="Blad1">
    <pageSetUpPr fitToPage="1"/>
  </sheetPr>
  <dimension ref="A2:W159"/>
  <sheetViews>
    <sheetView zoomScale="80" zoomScaleNormal="80" zoomScalePageLayoutView="0" workbookViewId="0" topLeftCell="A1">
      <pane ySplit="19" topLeftCell="BM38" activePane="bottomLeft" state="frozen"/>
      <selection pane="topLeft" activeCell="F31" sqref="F31"/>
      <selection pane="bottomLeft" activeCell="A1" sqref="A1"/>
    </sheetView>
  </sheetViews>
  <sheetFormatPr defaultColWidth="8.8515625" defaultRowHeight="12.75"/>
  <cols>
    <col min="1" max="1" width="26.421875" style="0" customWidth="1"/>
    <col min="2" max="2" width="25.8515625" style="0" customWidth="1"/>
    <col min="3" max="3" width="9.7109375" style="0" customWidth="1"/>
    <col min="4" max="4" width="20.140625" style="0" customWidth="1"/>
    <col min="5" max="5" width="14.8515625" style="0" customWidth="1"/>
    <col min="6" max="6" width="11.421875" style="0" customWidth="1"/>
    <col min="7" max="7" width="19.57421875" style="0" customWidth="1"/>
    <col min="8" max="11" width="9.140625" style="0" customWidth="1"/>
    <col min="12" max="12" width="2.57421875" style="0" customWidth="1"/>
    <col min="13" max="13" width="16.7109375" style="0" customWidth="1"/>
    <col min="14" max="14" width="13.7109375" style="0" customWidth="1"/>
    <col min="15" max="22" width="9.140625" style="0" customWidth="1"/>
    <col min="23" max="16384" width="8.8515625" style="2" customWidth="1"/>
  </cols>
  <sheetData>
    <row r="1" ht="102" customHeight="1"/>
    <row r="2" spans="1:14" ht="27.75" customHeight="1">
      <c r="A2" s="636" t="s">
        <v>502</v>
      </c>
      <c r="B2" s="174"/>
      <c r="C2" s="175"/>
      <c r="D2" s="175"/>
      <c r="E2" s="175"/>
      <c r="F2" s="176"/>
      <c r="G2" s="177"/>
      <c r="H2" s="178"/>
      <c r="I2" s="179"/>
      <c r="J2" s="180"/>
      <c r="K2" s="181"/>
      <c r="L2" s="178"/>
      <c r="M2" s="178"/>
      <c r="N2" s="182" t="str">
        <f>About!D2</f>
        <v>Version 1 - Public</v>
      </c>
    </row>
    <row r="3" spans="1:22" ht="27.75" customHeight="1">
      <c r="A3" s="119" t="s">
        <v>85</v>
      </c>
      <c r="B3" s="121"/>
      <c r="C3" s="122"/>
      <c r="D3" s="122"/>
      <c r="E3" s="121"/>
      <c r="F3" s="121"/>
      <c r="G3" s="46"/>
      <c r="H3" s="47"/>
      <c r="I3" s="123"/>
      <c r="J3" s="56"/>
      <c r="K3" s="123"/>
      <c r="L3" s="123"/>
      <c r="M3" s="22"/>
      <c r="N3" s="56"/>
      <c r="O3" s="2"/>
      <c r="P3" s="2"/>
      <c r="Q3" s="2"/>
      <c r="R3" s="2"/>
      <c r="S3" s="2"/>
      <c r="T3" s="2"/>
      <c r="U3" s="2"/>
      <c r="V3" s="2"/>
    </row>
    <row r="4" spans="1:22" ht="16.5" customHeight="1">
      <c r="A4" s="192" t="s">
        <v>368</v>
      </c>
      <c r="B4" s="183" t="s">
        <v>367</v>
      </c>
      <c r="C4" s="183" t="s">
        <v>92</v>
      </c>
      <c r="D4" s="183" t="s">
        <v>365</v>
      </c>
      <c r="E4" s="184" t="s">
        <v>82</v>
      </c>
      <c r="F4" s="61"/>
      <c r="G4" s="187" t="s">
        <v>376</v>
      </c>
      <c r="H4" s="60"/>
      <c r="I4" s="189" t="s">
        <v>104</v>
      </c>
      <c r="J4" s="190"/>
      <c r="K4" s="191"/>
      <c r="L4" s="11"/>
      <c r="M4" s="189" t="s">
        <v>428</v>
      </c>
      <c r="N4" s="624"/>
      <c r="O4" s="2"/>
      <c r="P4" s="2"/>
      <c r="Q4" s="2"/>
      <c r="R4" s="2"/>
      <c r="S4" s="2"/>
      <c r="T4" s="2"/>
      <c r="U4" s="2"/>
      <c r="V4" s="2"/>
    </row>
    <row r="5" spans="1:22" ht="16.5" customHeight="1">
      <c r="A5" s="477" t="s">
        <v>370</v>
      </c>
      <c r="B5" s="185" t="s">
        <v>366</v>
      </c>
      <c r="C5" s="185" t="s">
        <v>99</v>
      </c>
      <c r="D5" s="185" t="s">
        <v>366</v>
      </c>
      <c r="E5" s="186"/>
      <c r="F5" s="62"/>
      <c r="G5" s="188" t="s">
        <v>373</v>
      </c>
      <c r="H5" s="11"/>
      <c r="I5" s="199" t="str">
        <f>A63</f>
        <v>Ethanol plant</v>
      </c>
      <c r="J5" s="200"/>
      <c r="K5" s="201"/>
      <c r="L5" s="11"/>
      <c r="M5" s="199" t="s">
        <v>429</v>
      </c>
      <c r="N5" s="201"/>
      <c r="O5" s="2"/>
      <c r="P5" s="2"/>
      <c r="Q5" s="2"/>
      <c r="R5" s="2"/>
      <c r="S5" s="2"/>
      <c r="T5" s="2"/>
      <c r="U5" s="2"/>
      <c r="V5" s="2"/>
    </row>
    <row r="6" spans="1:22" ht="16.5" customHeight="1">
      <c r="A6" s="193" t="s">
        <v>260</v>
      </c>
      <c r="B6" s="194"/>
      <c r="C6" s="195"/>
      <c r="D6" s="196"/>
      <c r="E6" s="197">
        <f>D7</f>
        <v>23.31089959959823</v>
      </c>
      <c r="F6" s="63"/>
      <c r="G6" s="198">
        <v>23</v>
      </c>
      <c r="H6" s="11"/>
      <c r="I6" s="150">
        <f>F79/F81</f>
        <v>0.5951165371809101</v>
      </c>
      <c r="J6" s="151" t="s">
        <v>65</v>
      </c>
      <c r="K6" s="152"/>
      <c r="L6" s="11"/>
      <c r="M6" s="623">
        <v>83.8</v>
      </c>
      <c r="N6" s="625" t="s">
        <v>431</v>
      </c>
      <c r="O6" s="2"/>
      <c r="P6" s="2"/>
      <c r="Q6" s="2"/>
      <c r="R6" s="2"/>
      <c r="S6" s="2"/>
      <c r="T6" s="2"/>
      <c r="U6" s="2"/>
      <c r="V6" s="2"/>
    </row>
    <row r="7" spans="1:23" ht="12" customHeight="1">
      <c r="A7" s="199" t="str">
        <f>A20</f>
        <v>Cultivation of wheat</v>
      </c>
      <c r="B7" s="99">
        <f>K41</f>
        <v>39.17031059164119</v>
      </c>
      <c r="C7" s="100">
        <f>I6</f>
        <v>0.5951165371809101</v>
      </c>
      <c r="D7" s="21">
        <f>C7*B7</f>
        <v>23.31089959959823</v>
      </c>
      <c r="E7" s="145"/>
      <c r="F7" s="64"/>
      <c r="G7" s="91">
        <f>23.43</f>
        <v>23.43</v>
      </c>
      <c r="H7" s="11"/>
      <c r="I7" s="153">
        <f>1-I6</f>
        <v>0.40488346281908993</v>
      </c>
      <c r="J7" s="154" t="s">
        <v>66</v>
      </c>
      <c r="K7" s="155"/>
      <c r="L7" s="11"/>
      <c r="M7" s="199" t="s">
        <v>430</v>
      </c>
      <c r="N7" s="201"/>
      <c r="O7" s="159"/>
      <c r="P7" s="159"/>
      <c r="Q7" s="3"/>
      <c r="R7" s="3"/>
      <c r="S7" s="3"/>
      <c r="T7" s="3"/>
      <c r="U7" s="3"/>
      <c r="V7" s="3"/>
      <c r="W7" s="3"/>
    </row>
    <row r="8" spans="1:23" ht="16.5" customHeight="1">
      <c r="A8" s="193" t="s">
        <v>261</v>
      </c>
      <c r="B8" s="204"/>
      <c r="C8" s="204"/>
      <c r="D8" s="205"/>
      <c r="E8" s="197">
        <f>D9</f>
        <v>29.39874581966536</v>
      </c>
      <c r="F8" s="63"/>
      <c r="G8" s="198">
        <v>30</v>
      </c>
      <c r="H8" s="11"/>
      <c r="I8" s="11"/>
      <c r="J8" s="11"/>
      <c r="K8" s="11"/>
      <c r="L8" s="11"/>
      <c r="M8" s="629">
        <f>(M6-E17)/M6</f>
        <v>0.34827117259727003</v>
      </c>
      <c r="N8" s="626"/>
      <c r="O8" s="161"/>
      <c r="P8" s="3"/>
      <c r="Q8" s="3"/>
      <c r="R8" s="3"/>
      <c r="S8" s="3"/>
      <c r="T8" s="3"/>
      <c r="U8" s="3"/>
      <c r="V8" s="3"/>
      <c r="W8" s="3"/>
    </row>
    <row r="9" spans="1:23" ht="12" customHeight="1">
      <c r="A9" s="199" t="str">
        <f>A63</f>
        <v>Ethanol plant</v>
      </c>
      <c r="B9" s="99">
        <f>K73</f>
        <v>49.39998131950483</v>
      </c>
      <c r="C9" s="100">
        <f>I6</f>
        <v>0.5951165371809101</v>
      </c>
      <c r="D9" s="21">
        <f>C9*B9</f>
        <v>29.39874581966536</v>
      </c>
      <c r="E9" s="145"/>
      <c r="F9" s="64"/>
      <c r="G9" s="91">
        <f>1.4*21.12</f>
        <v>29.567999999999998</v>
      </c>
      <c r="H9" s="11"/>
      <c r="I9" s="11"/>
      <c r="J9" s="11"/>
      <c r="K9" s="11"/>
      <c r="L9" s="11"/>
      <c r="M9" s="11"/>
      <c r="N9" s="627"/>
      <c r="O9" s="162"/>
      <c r="P9" s="3"/>
      <c r="Q9" s="3"/>
      <c r="R9" s="3"/>
      <c r="S9" s="3"/>
      <c r="T9" s="3"/>
      <c r="U9" s="3"/>
      <c r="V9" s="3"/>
      <c r="W9" s="3"/>
    </row>
    <row r="10" spans="1:23" ht="16.5" customHeight="1">
      <c r="A10" s="193" t="s">
        <v>262</v>
      </c>
      <c r="B10" s="204"/>
      <c r="C10" s="204"/>
      <c r="D10" s="205"/>
      <c r="E10" s="197">
        <f>D11+D12+D13+D14</f>
        <v>1.9052303170851803</v>
      </c>
      <c r="F10" s="63"/>
      <c r="G10" s="198">
        <v>2</v>
      </c>
      <c r="H10" s="11"/>
      <c r="I10" s="11"/>
      <c r="J10" s="11"/>
      <c r="K10" s="11"/>
      <c r="L10" s="11"/>
      <c r="M10" s="11"/>
      <c r="N10" s="55"/>
      <c r="O10" s="163"/>
      <c r="P10" s="3"/>
      <c r="Q10" s="3"/>
      <c r="R10" s="3"/>
      <c r="S10" s="3"/>
      <c r="T10" s="3"/>
      <c r="U10" s="3"/>
      <c r="V10" s="160"/>
      <c r="W10" s="3"/>
    </row>
    <row r="11" spans="1:23" ht="12" customHeight="1" thickBot="1">
      <c r="A11" s="199" t="str">
        <f>A44</f>
        <v>Handling &amp; storage of wheat</v>
      </c>
      <c r="B11" s="99">
        <f>K50</f>
        <v>0.09726928115282989</v>
      </c>
      <c r="C11" s="100">
        <f>I6</f>
        <v>0.5951165371809101</v>
      </c>
      <c r="D11" s="21">
        <f aca="true" t="shared" si="0" ref="D11:D16">C11*B11</f>
        <v>0.05788655777374848</v>
      </c>
      <c r="E11" s="101"/>
      <c r="F11" s="63"/>
      <c r="G11" s="667">
        <f>0.38</f>
        <v>0.38</v>
      </c>
      <c r="H11" s="11"/>
      <c r="I11" s="11"/>
      <c r="J11" s="11"/>
      <c r="K11" s="11"/>
      <c r="L11" s="11"/>
      <c r="M11" s="11"/>
      <c r="N11" s="669"/>
      <c r="O11" s="164"/>
      <c r="P11" s="165"/>
      <c r="Q11" s="3"/>
      <c r="R11" s="3"/>
      <c r="S11" s="3"/>
      <c r="T11" s="3"/>
      <c r="U11" s="3"/>
      <c r="V11" s="160"/>
      <c r="W11" s="3"/>
    </row>
    <row r="12" spans="1:23" ht="12" customHeight="1">
      <c r="A12" s="199" t="str">
        <f>A53</f>
        <v>Transport of wheat</v>
      </c>
      <c r="B12" s="99">
        <f>K60</f>
        <v>0.5205381683997651</v>
      </c>
      <c r="C12" s="100">
        <f>I6</f>
        <v>0.5951165371809101</v>
      </c>
      <c r="D12" s="21">
        <f t="shared" si="0"/>
        <v>0.3097808722485616</v>
      </c>
      <c r="E12" s="101"/>
      <c r="F12" s="64"/>
      <c r="G12" s="668"/>
      <c r="H12" s="11"/>
      <c r="I12" s="137" t="s">
        <v>276</v>
      </c>
      <c r="J12" s="138"/>
      <c r="K12" s="138"/>
      <c r="L12" s="138"/>
      <c r="M12" s="615"/>
      <c r="N12" s="669"/>
      <c r="O12" s="162"/>
      <c r="P12" s="166"/>
      <c r="Q12" s="166"/>
      <c r="R12" s="3"/>
      <c r="S12" s="3"/>
      <c r="T12" s="3"/>
      <c r="U12" s="3"/>
      <c r="V12" s="3"/>
      <c r="W12" s="3"/>
    </row>
    <row r="13" spans="1:23" ht="12" customHeight="1">
      <c r="A13" s="199" t="str">
        <f>A85</f>
        <v>Transport of ethanol</v>
      </c>
      <c r="B13" s="99">
        <f>K94</f>
        <v>1.0983179259517593</v>
      </c>
      <c r="C13" s="102">
        <v>1</v>
      </c>
      <c r="D13" s="21">
        <f t="shared" si="0"/>
        <v>1.0983179259517593</v>
      </c>
      <c r="E13" s="35"/>
      <c r="F13" s="66"/>
      <c r="G13" s="91">
        <f>1.1</f>
        <v>1.1</v>
      </c>
      <c r="H13" s="11"/>
      <c r="I13" s="139"/>
      <c r="J13" s="97"/>
      <c r="K13" s="97"/>
      <c r="L13" s="97"/>
      <c r="M13" s="616"/>
      <c r="N13" s="612"/>
      <c r="O13" s="163"/>
      <c r="P13" s="3"/>
      <c r="Q13" s="3"/>
      <c r="R13" s="3"/>
      <c r="S13" s="3"/>
      <c r="T13" s="3"/>
      <c r="U13" s="3"/>
      <c r="V13" s="3"/>
      <c r="W13" s="3"/>
    </row>
    <row r="14" spans="1:23" ht="12" customHeight="1">
      <c r="A14" s="199" t="str">
        <f>A97</f>
        <v>Filling station</v>
      </c>
      <c r="B14" s="99">
        <f>K102</f>
        <v>0.4392449611111111</v>
      </c>
      <c r="C14" s="102">
        <v>1</v>
      </c>
      <c r="D14" s="21">
        <f t="shared" si="0"/>
        <v>0.4392449611111111</v>
      </c>
      <c r="E14" s="35"/>
      <c r="F14" s="66"/>
      <c r="G14" s="91">
        <f>0.44</f>
        <v>0.44</v>
      </c>
      <c r="H14" s="11"/>
      <c r="I14" s="139"/>
      <c r="J14" s="97"/>
      <c r="K14" s="97"/>
      <c r="L14" s="140"/>
      <c r="M14" s="617"/>
      <c r="N14" s="612"/>
      <c r="O14" s="163"/>
      <c r="P14" s="3"/>
      <c r="Q14" s="3"/>
      <c r="R14" s="3"/>
      <c r="S14" s="3"/>
      <c r="T14" s="3"/>
      <c r="U14" s="3"/>
      <c r="V14" s="3"/>
      <c r="W14" s="3"/>
    </row>
    <row r="15" spans="1:23" ht="17.25" customHeight="1">
      <c r="A15" s="206" t="s">
        <v>282</v>
      </c>
      <c r="B15" s="207">
        <f>K108</f>
        <v>0</v>
      </c>
      <c r="C15" s="208">
        <f>I6</f>
        <v>0.5951165371809101</v>
      </c>
      <c r="D15" s="207">
        <f t="shared" si="0"/>
        <v>0</v>
      </c>
      <c r="E15" s="197">
        <f>D15</f>
        <v>0</v>
      </c>
      <c r="F15" s="217"/>
      <c r="G15" s="210">
        <v>0</v>
      </c>
      <c r="H15" s="11"/>
      <c r="I15" s="139"/>
      <c r="J15" s="97"/>
      <c r="K15" s="97"/>
      <c r="L15" s="98"/>
      <c r="M15" s="618"/>
      <c r="N15" s="614"/>
      <c r="O15" s="163"/>
      <c r="P15" s="3"/>
      <c r="Q15" s="3"/>
      <c r="R15" s="3"/>
      <c r="S15" s="3"/>
      <c r="T15" s="3"/>
      <c r="U15" s="3"/>
      <c r="V15" s="3"/>
      <c r="W15" s="3"/>
    </row>
    <row r="16" spans="1:23" ht="16.5" customHeight="1">
      <c r="A16" s="206" t="s">
        <v>267</v>
      </c>
      <c r="B16" s="207">
        <f>K114+K120+K126</f>
        <v>0</v>
      </c>
      <c r="C16" s="209">
        <v>1</v>
      </c>
      <c r="D16" s="207">
        <f t="shared" si="0"/>
        <v>0</v>
      </c>
      <c r="E16" s="197">
        <f>D16</f>
        <v>0</v>
      </c>
      <c r="F16" s="67"/>
      <c r="G16" s="210">
        <v>0</v>
      </c>
      <c r="H16" s="11"/>
      <c r="I16" s="139"/>
      <c r="J16" s="97"/>
      <c r="K16" s="97"/>
      <c r="L16" s="98"/>
      <c r="M16" s="618"/>
      <c r="N16" s="614"/>
      <c r="O16" s="167"/>
      <c r="P16" s="167"/>
      <c r="Q16" s="167"/>
      <c r="R16" s="167"/>
      <c r="S16" s="167"/>
      <c r="T16" s="167"/>
      <c r="U16" s="168"/>
      <c r="V16" s="169"/>
      <c r="W16" s="3"/>
    </row>
    <row r="17" spans="1:14" s="226" customFormat="1" ht="16.5" customHeight="1" thickBot="1">
      <c r="A17" s="212" t="s">
        <v>84</v>
      </c>
      <c r="B17" s="213">
        <f>SUM(B7:B14)+B16</f>
        <v>90.7256622477615</v>
      </c>
      <c r="C17" s="214"/>
      <c r="D17" s="211"/>
      <c r="E17" s="215">
        <f>SUM(E6:E16)</f>
        <v>54.61487573634877</v>
      </c>
      <c r="F17" s="224"/>
      <c r="G17" s="216">
        <v>55</v>
      </c>
      <c r="H17" s="225"/>
      <c r="I17" s="619" t="s">
        <v>3</v>
      </c>
      <c r="J17" s="620"/>
      <c r="K17" s="620"/>
      <c r="L17" s="621"/>
      <c r="M17" s="622"/>
      <c r="N17" s="300"/>
    </row>
    <row r="18" spans="1:23" s="11" customFormat="1" ht="16.5" customHeight="1">
      <c r="A18" s="218"/>
      <c r="B18" s="219"/>
      <c r="C18" s="220"/>
      <c r="D18" s="221"/>
      <c r="E18" s="219"/>
      <c r="F18" s="68"/>
      <c r="G18" s="222"/>
      <c r="I18" s="223"/>
      <c r="J18" s="22"/>
      <c r="K18" s="22"/>
      <c r="L18" s="56"/>
      <c r="M18" s="56"/>
      <c r="N18" s="300"/>
      <c r="O18" s="22"/>
      <c r="P18" s="22"/>
      <c r="Q18" s="22"/>
      <c r="R18" s="22"/>
      <c r="S18" s="22"/>
      <c r="T18" s="22"/>
      <c r="U18" s="22"/>
      <c r="V18" s="22"/>
      <c r="W18" s="22"/>
    </row>
    <row r="19" spans="1:14" ht="22.5" customHeight="1">
      <c r="A19" s="120" t="s">
        <v>86</v>
      </c>
      <c r="B19" s="22"/>
      <c r="C19" s="54"/>
      <c r="D19" s="54"/>
      <c r="E19" s="54"/>
      <c r="F19" s="22"/>
      <c r="G19" s="58"/>
      <c r="H19" s="58"/>
      <c r="I19" s="57"/>
      <c r="J19" s="135"/>
      <c r="K19" s="135"/>
      <c r="L19" s="136"/>
      <c r="M19" s="136"/>
      <c r="N19" s="136"/>
    </row>
    <row r="20" spans="1:14" ht="15.75">
      <c r="A20" s="227" t="s">
        <v>18</v>
      </c>
      <c r="B20" s="228"/>
      <c r="C20" s="228"/>
      <c r="D20" s="228"/>
      <c r="E20" s="227" t="s">
        <v>37</v>
      </c>
      <c r="F20" s="229"/>
      <c r="G20" s="228"/>
      <c r="H20" s="230" t="s">
        <v>57</v>
      </c>
      <c r="I20" s="229"/>
      <c r="J20" s="229"/>
      <c r="K20" s="231"/>
      <c r="L20" s="134"/>
      <c r="M20" s="232" t="s">
        <v>252</v>
      </c>
      <c r="N20" s="232"/>
    </row>
    <row r="21" spans="1:14" ht="15.75">
      <c r="A21" s="27"/>
      <c r="B21" s="28" t="s">
        <v>49</v>
      </c>
      <c r="C21" s="29"/>
      <c r="D21" s="29"/>
      <c r="E21" s="103" t="s">
        <v>49</v>
      </c>
      <c r="F21" s="41"/>
      <c r="G21" s="40"/>
      <c r="H21" s="19" t="s">
        <v>274</v>
      </c>
      <c r="I21" s="41"/>
      <c r="J21" s="41"/>
      <c r="K21" s="42"/>
      <c r="L21" s="54"/>
      <c r="M21" s="127" t="s">
        <v>253</v>
      </c>
      <c r="N21" s="148" t="s">
        <v>275</v>
      </c>
    </row>
    <row r="22" spans="1:14" ht="15.75">
      <c r="A22" s="12"/>
      <c r="B22" s="9" t="s">
        <v>67</v>
      </c>
      <c r="C22" s="279">
        <v>5208.21681173012</v>
      </c>
      <c r="D22" s="30" t="s">
        <v>52</v>
      </c>
      <c r="E22" s="104">
        <f>C22*(1-C23)*VLOOKUP($B22,'Standard values'!$C$8:$R$131,13,FALSE)</f>
        <v>76586.82821649141</v>
      </c>
      <c r="F22" s="39" t="s">
        <v>87</v>
      </c>
      <c r="G22" s="39"/>
      <c r="H22" s="43" t="s">
        <v>88</v>
      </c>
      <c r="I22" s="43" t="s">
        <v>89</v>
      </c>
      <c r="J22" s="43" t="s">
        <v>90</v>
      </c>
      <c r="K22" s="44" t="s">
        <v>91</v>
      </c>
      <c r="L22" s="22"/>
      <c r="M22" s="44" t="s">
        <v>91</v>
      </c>
      <c r="N22" s="44" t="s">
        <v>268</v>
      </c>
    </row>
    <row r="23" spans="1:18" ht="15.75">
      <c r="A23" s="13"/>
      <c r="B23" s="9" t="s">
        <v>46</v>
      </c>
      <c r="C23" s="280">
        <v>0.135</v>
      </c>
      <c r="D23" s="30"/>
      <c r="E23" s="124">
        <v>1</v>
      </c>
      <c r="F23" s="85" t="s">
        <v>241</v>
      </c>
      <c r="G23" s="9"/>
      <c r="H23" s="31"/>
      <c r="I23" s="32"/>
      <c r="J23" s="32"/>
      <c r="K23" s="33"/>
      <c r="L23" s="22"/>
      <c r="M23" s="81"/>
      <c r="N23" s="81"/>
      <c r="P23" s="2"/>
      <c r="Q23" s="2"/>
      <c r="R23" s="2"/>
    </row>
    <row r="24" spans="1:18" ht="15.75">
      <c r="A24" s="13"/>
      <c r="B24" s="9" t="s">
        <v>101</v>
      </c>
      <c r="C24" s="281">
        <f>0.4125*C22</f>
        <v>2148.3894348386743</v>
      </c>
      <c r="D24" s="30" t="s">
        <v>52</v>
      </c>
      <c r="E24" s="126">
        <f>+C22/E131</f>
        <v>0.12800378600858547</v>
      </c>
      <c r="F24" s="85" t="s">
        <v>251</v>
      </c>
      <c r="G24" s="9"/>
      <c r="H24" s="32"/>
      <c r="I24" s="32"/>
      <c r="J24" s="32"/>
      <c r="K24" s="33"/>
      <c r="L24" s="22"/>
      <c r="M24" s="81"/>
      <c r="N24" s="81"/>
      <c r="P24" s="2"/>
      <c r="Q24" s="2"/>
      <c r="R24" s="2"/>
    </row>
    <row r="25" spans="1:18" ht="12.75">
      <c r="A25" s="13"/>
      <c r="B25" s="9"/>
      <c r="C25" s="14"/>
      <c r="D25" s="30"/>
      <c r="E25" s="13"/>
      <c r="F25" s="9"/>
      <c r="G25" s="9"/>
      <c r="H25" s="23"/>
      <c r="I25" s="23"/>
      <c r="J25" s="23"/>
      <c r="K25" s="34"/>
      <c r="L25" s="22"/>
      <c r="M25" s="81"/>
      <c r="N25" s="81"/>
      <c r="P25" s="2"/>
      <c r="Q25" s="2"/>
      <c r="R25" s="2"/>
    </row>
    <row r="26" spans="1:18" ht="12.75">
      <c r="A26" s="13"/>
      <c r="B26" s="10" t="s">
        <v>50</v>
      </c>
      <c r="C26" s="14"/>
      <c r="D26" s="30"/>
      <c r="E26" s="13"/>
      <c r="F26" s="9"/>
      <c r="G26" s="9"/>
      <c r="H26" s="23"/>
      <c r="I26" s="23"/>
      <c r="J26" s="23"/>
      <c r="K26" s="34"/>
      <c r="L26" s="22"/>
      <c r="M26" s="81"/>
      <c r="N26" s="81"/>
      <c r="P26" s="2"/>
      <c r="Q26" s="2"/>
      <c r="R26" s="2"/>
    </row>
    <row r="27" spans="1:14" ht="14.25">
      <c r="A27" s="13"/>
      <c r="B27" s="9" t="s">
        <v>33</v>
      </c>
      <c r="C27" s="281">
        <f>(3843+3590)/2</f>
        <v>3716.5</v>
      </c>
      <c r="D27" s="30" t="s">
        <v>53</v>
      </c>
      <c r="E27" s="38"/>
      <c r="F27" s="9"/>
      <c r="G27" s="9"/>
      <c r="H27" s="32">
        <f>$C27*VLOOKUP($B27,'Standard values'!$C$8:$R$131,6,FALSE)/$E$131</f>
        <v>8.005063106782387</v>
      </c>
      <c r="I27" s="32">
        <f>$C27*VLOOKUP($B27,'Standard values'!$C$8:$R$131,7,FALSE)/$E$131</f>
        <v>0</v>
      </c>
      <c r="J27" s="32">
        <f>$C27*VLOOKUP($B27,'Standard values'!$C$8:$R$131,8,FALSE)/$E$131</f>
        <v>0</v>
      </c>
      <c r="K27" s="33">
        <f>H27*'Standard values'!$G$9+I27*'Standard values'!$G$10+J27*'Standard values'!$G$11</f>
        <v>8.005063106782387</v>
      </c>
      <c r="L27" s="22"/>
      <c r="M27" s="131">
        <f>+K27/$E$24</f>
        <v>62.53770576946428</v>
      </c>
      <c r="N27" s="132">
        <f>K27*$E$131/1000</f>
        <v>325.70993055555556</v>
      </c>
    </row>
    <row r="28" spans="1:14" ht="12.75">
      <c r="A28" s="13"/>
      <c r="B28" s="9"/>
      <c r="C28" s="14"/>
      <c r="D28" s="30"/>
      <c r="E28" s="38"/>
      <c r="F28" s="9"/>
      <c r="G28" s="9"/>
      <c r="H28" s="32"/>
      <c r="I28" s="32"/>
      <c r="J28" s="32"/>
      <c r="K28" s="33"/>
      <c r="L28" s="22"/>
      <c r="M28" s="131"/>
      <c r="N28" s="132"/>
    </row>
    <row r="29" spans="1:14" ht="12.75">
      <c r="A29" s="13"/>
      <c r="B29" s="10" t="s">
        <v>80</v>
      </c>
      <c r="C29" s="14"/>
      <c r="D29" s="30"/>
      <c r="E29" s="38"/>
      <c r="F29" s="9"/>
      <c r="G29" s="9"/>
      <c r="H29" s="32"/>
      <c r="I29" s="32"/>
      <c r="J29" s="32"/>
      <c r="K29" s="33"/>
      <c r="L29" s="22"/>
      <c r="M29" s="131"/>
      <c r="N29" s="132"/>
    </row>
    <row r="30" spans="1:14" ht="14.25">
      <c r="A30" s="13"/>
      <c r="B30" s="9" t="s">
        <v>115</v>
      </c>
      <c r="C30" s="282">
        <v>109.30441083988111</v>
      </c>
      <c r="D30" s="30" t="s">
        <v>54</v>
      </c>
      <c r="E30" s="38"/>
      <c r="F30" s="9"/>
      <c r="G30" s="9"/>
      <c r="H30" s="32">
        <f>$C30*VLOOKUP($B30,'Standard values'!$C$8:$R$131,2,FALSE)/$E$131</f>
        <v>7.5944794094809875</v>
      </c>
      <c r="I30" s="32">
        <f>$C30*VLOOKUP($B30,'Standard values'!$C$8:$R$131,3,FALSE)/$E$131</f>
        <v>0.023314769599091817</v>
      </c>
      <c r="J30" s="32">
        <f>$C30*VLOOKUP($B30,'Standard values'!$C$8:$R$131,4,FALSE)/$E$131</f>
        <v>0.025901777379421516</v>
      </c>
      <c r="K30" s="33">
        <f>H30*'Standard values'!$G$9+I30*'Standard values'!$G$10+J30*'Standard values'!$G$11</f>
        <v>15.797645214568867</v>
      </c>
      <c r="L30" s="22"/>
      <c r="M30" s="131">
        <f>+K30/$E$24</f>
        <v>123.41545283285048</v>
      </c>
      <c r="N30" s="132">
        <f>K30*$E$131/1000</f>
        <v>642.7744362713374</v>
      </c>
    </row>
    <row r="31" spans="1:14" ht="15.75">
      <c r="A31" s="13"/>
      <c r="B31" s="9" t="s">
        <v>234</v>
      </c>
      <c r="C31" s="282">
        <v>16.35771403063251</v>
      </c>
      <c r="D31" s="30" t="s">
        <v>55</v>
      </c>
      <c r="E31" s="38"/>
      <c r="F31" s="9"/>
      <c r="G31" s="9"/>
      <c r="H31" s="32">
        <f>$C31*VLOOKUP($B31,'Standard values'!$C$8:$R$131,2,FALSE)/$E$131</f>
        <v>0.21561203330840112</v>
      </c>
      <c r="I31" s="32">
        <f>$C31*VLOOKUP($B31,'Standard values'!$C$8:$R$131,3,FALSE)/$E$131</f>
        <v>0.0006315458871415207</v>
      </c>
      <c r="J31" s="32">
        <f>$C31*VLOOKUP($B31,'Standard values'!$C$8:$R$131,4,FALSE)/$E$131</f>
        <v>4.9449451981925676E-06</v>
      </c>
      <c r="K31" s="33">
        <f>H31*'Standard values'!$G$9+I31*'Standard values'!$G$10+J31*'Standard values'!$G$11</f>
        <v>0.2316012924913211</v>
      </c>
      <c r="L31" s="22"/>
      <c r="M31" s="131">
        <f>+K31/$E$24</f>
        <v>1.8093315808314228</v>
      </c>
      <c r="N31" s="132">
        <f>K31*$E$131/1000</f>
        <v>9.42339115728045</v>
      </c>
    </row>
    <row r="32" spans="1:14" ht="15.75">
      <c r="A32" s="13"/>
      <c r="B32" s="9" t="s">
        <v>235</v>
      </c>
      <c r="C32" s="282">
        <v>21.636015155139138</v>
      </c>
      <c r="D32" s="30" t="s">
        <v>56</v>
      </c>
      <c r="E32" s="38"/>
      <c r="F32" s="9"/>
      <c r="G32" s="9"/>
      <c r="H32" s="32">
        <f>$C32*VLOOKUP($B32,'Standard values'!$C$8:$R$131,2,FALSE)/$E$131</f>
        <v>0.5130825767013195</v>
      </c>
      <c r="I32" s="32">
        <f>$C32*VLOOKUP($B32,'Standard values'!$C$8:$R$131,3,FALSE)/$E$131</f>
        <v>0.0007077650164961953</v>
      </c>
      <c r="J32" s="32">
        <f>$C32*VLOOKUP($B32,'Standard values'!$C$8:$R$131,4,FALSE)/$E$131</f>
        <v>2.7385348121377956E-05</v>
      </c>
      <c r="K32" s="33">
        <f>H32*'Standard values'!$G$9+I32*'Standard values'!$G$10+J32*'Standard values'!$G$11</f>
        <v>0.5374672351246599</v>
      </c>
      <c r="L32" s="22"/>
      <c r="M32" s="131">
        <f>+K32/$E$24</f>
        <v>4.198838580357387</v>
      </c>
      <c r="N32" s="132">
        <f>K32*$E$131/1000</f>
        <v>21.868461683958376</v>
      </c>
    </row>
    <row r="33" spans="1:14" ht="14.25">
      <c r="A33" s="13"/>
      <c r="B33" s="9" t="s">
        <v>31</v>
      </c>
      <c r="C33" s="282">
        <v>2.335</v>
      </c>
      <c r="D33" s="30" t="s">
        <v>52</v>
      </c>
      <c r="E33" s="38"/>
      <c r="F33" s="15"/>
      <c r="G33" s="15"/>
      <c r="H33" s="32">
        <f>$C33*VLOOKUP($B33,'Standard values'!$C$8:$R$131,2,FALSE)/$E$131</f>
        <v>0.5673659957944569</v>
      </c>
      <c r="I33" s="32">
        <f>$C33*VLOOKUP($B33,'Standard values'!$C$8:$R$131,3,FALSE)/$E$131</f>
        <v>0.0014649477146967333</v>
      </c>
      <c r="J33" s="32">
        <f>$C33*VLOOKUP($B33,'Standard values'!$C$8:$R$131,4,FALSE)/$E$131</f>
        <v>9.64920843923159E-05</v>
      </c>
      <c r="K33" s="33">
        <f>H33*'Standard values'!$G$9+I33*'Standard values'!$G$10+J33*'Standard values'!$G$11</f>
        <v>0.6296214502126072</v>
      </c>
      <c r="L33" s="22"/>
      <c r="M33" s="131">
        <f>+K33/$E$24</f>
        <v>4.918772091400306</v>
      </c>
      <c r="N33" s="132">
        <f>K33*$E$131/1000</f>
        <v>25.618031499499992</v>
      </c>
    </row>
    <row r="34" spans="1:14" ht="12.75">
      <c r="A34" s="13"/>
      <c r="B34" s="9"/>
      <c r="C34" s="16"/>
      <c r="D34" s="30"/>
      <c r="E34" s="38"/>
      <c r="F34" s="15"/>
      <c r="G34" s="15"/>
      <c r="H34" s="32"/>
      <c r="I34" s="32"/>
      <c r="J34" s="32"/>
      <c r="K34" s="33"/>
      <c r="L34" s="22"/>
      <c r="M34" s="131"/>
      <c r="N34" s="132"/>
    </row>
    <row r="35" spans="1:14" ht="12.75">
      <c r="A35" s="13"/>
      <c r="B35" s="10" t="s">
        <v>35</v>
      </c>
      <c r="C35" s="16"/>
      <c r="D35" s="30"/>
      <c r="E35" s="38"/>
      <c r="F35" s="9"/>
      <c r="G35" s="15"/>
      <c r="H35" s="32"/>
      <c r="I35" s="32"/>
      <c r="J35" s="32"/>
      <c r="K35" s="33"/>
      <c r="L35" s="22"/>
      <c r="M35" s="131"/>
      <c r="N35" s="132"/>
    </row>
    <row r="36" spans="1:14" ht="14.25">
      <c r="A36" s="13"/>
      <c r="B36" s="39" t="s">
        <v>123</v>
      </c>
      <c r="C36" s="283">
        <v>120</v>
      </c>
      <c r="D36" s="30" t="s">
        <v>52</v>
      </c>
      <c r="E36" s="38"/>
      <c r="F36" s="9"/>
      <c r="G36" s="9"/>
      <c r="H36" s="32">
        <f>$C36*VLOOKUP($B36,'Standard values'!$C$8:$R$131,2,FALSE)/$E$131</f>
        <v>0.4455045294111852</v>
      </c>
      <c r="I36" s="32">
        <f>$C36*VLOOKUP($B36,'Standard values'!$C$8:$R$131,3,FALSE)/$E$131</f>
        <v>0.0008172436068274115</v>
      </c>
      <c r="J36" s="32">
        <f>$C36*VLOOKUP($B36,'Standard values'!$C$8:$R$131,4,FALSE)/$E$131</f>
        <v>0.0011805940664489816</v>
      </c>
      <c r="K36" s="33">
        <f>H36*'Standard values'!$G$9+I36*'Standard values'!$G$10+J36*'Standard values'!$G$11</f>
        <v>0.8137569760371142</v>
      </c>
      <c r="L36" s="22"/>
      <c r="M36" s="131">
        <f>+K36/$E$24</f>
        <v>6.357288338194417</v>
      </c>
      <c r="N36" s="132">
        <f>K36*$E$131/1000</f>
        <v>33.110136</v>
      </c>
    </row>
    <row r="37" spans="1:14" ht="12.75">
      <c r="A37" s="13"/>
      <c r="B37" s="10"/>
      <c r="C37" s="17"/>
      <c r="D37" s="30"/>
      <c r="E37" s="38"/>
      <c r="F37" s="9"/>
      <c r="G37" s="9"/>
      <c r="H37" s="32"/>
      <c r="I37" s="32"/>
      <c r="J37" s="32"/>
      <c r="K37" s="33"/>
      <c r="L37" s="22"/>
      <c r="M37" s="131"/>
      <c r="N37" s="132"/>
    </row>
    <row r="38" spans="1:14" ht="15.75">
      <c r="A38" s="13"/>
      <c r="B38" s="10" t="s">
        <v>81</v>
      </c>
      <c r="C38" s="284">
        <f>(0.085/3.6)*E22/1000</f>
        <v>1.8083001106671583</v>
      </c>
      <c r="D38" s="30" t="s">
        <v>52</v>
      </c>
      <c r="E38" s="38"/>
      <c r="F38" s="9"/>
      <c r="G38" s="9"/>
      <c r="H38" s="32">
        <v>0</v>
      </c>
      <c r="I38" s="32">
        <v>0</v>
      </c>
      <c r="J38" s="32">
        <f>1000*$C38/$E$131</f>
        <v>0.044443092285217</v>
      </c>
      <c r="K38" s="33">
        <f>H38*'Standard values'!$G$9+I38*'Standard values'!$G$10+J38*'Standard values'!$G$11</f>
        <v>13.155155316424231</v>
      </c>
      <c r="L38" s="22"/>
      <c r="M38" s="131">
        <f>+K38/$E$24</f>
        <v>102.77161111111111</v>
      </c>
      <c r="N38" s="132">
        <f>K38*$E$131/1000</f>
        <v>535.2568327574788</v>
      </c>
    </row>
    <row r="39" spans="1:14" ht="12.75">
      <c r="A39" s="13"/>
      <c r="B39" s="10"/>
      <c r="C39" s="20"/>
      <c r="D39" s="9"/>
      <c r="E39" s="38"/>
      <c r="F39" s="18"/>
      <c r="G39" s="18" t="s">
        <v>82</v>
      </c>
      <c r="H39" s="117">
        <f>SUM(H23:H38)</f>
        <v>17.341107651478737</v>
      </c>
      <c r="I39" s="117">
        <f>SUM(I23:I38)</f>
        <v>0.026936271824253677</v>
      </c>
      <c r="J39" s="117">
        <f>SUM(J23:J38)</f>
        <v>0.07165428610879938</v>
      </c>
      <c r="K39" s="118">
        <f>H39*'Standard values'!$G$9+I39*'Standard values'!$G$10+J39*'Standard values'!$G$11</f>
        <v>39.17031059164119</v>
      </c>
      <c r="L39" s="22"/>
      <c r="M39" s="128">
        <f>+K39/$E$24</f>
        <v>306.0090003042094</v>
      </c>
      <c r="N39" s="133">
        <f>K39*$E$131/1000</f>
        <v>1593.7612199251107</v>
      </c>
    </row>
    <row r="40" spans="1:14" ht="12.75">
      <c r="A40" s="13"/>
      <c r="B40" s="10"/>
      <c r="C40" s="20"/>
      <c r="D40" s="9"/>
      <c r="E40" s="38"/>
      <c r="F40" s="18"/>
      <c r="G40" s="18"/>
      <c r="H40" s="21"/>
      <c r="I40" s="21"/>
      <c r="J40" s="21"/>
      <c r="K40" s="35"/>
      <c r="L40" s="22"/>
      <c r="M40" s="11"/>
      <c r="N40" s="11"/>
    </row>
    <row r="41" spans="1:14" ht="15.75">
      <c r="A41" s="233"/>
      <c r="B41" s="234"/>
      <c r="C41" s="234"/>
      <c r="D41" s="234"/>
      <c r="E41" s="233"/>
      <c r="F41" s="235"/>
      <c r="G41" s="235" t="s">
        <v>60</v>
      </c>
      <c r="H41" s="236"/>
      <c r="I41" s="237" t="s">
        <v>83</v>
      </c>
      <c r="J41" s="238"/>
      <c r="K41" s="239">
        <f>K39</f>
        <v>39.17031059164119</v>
      </c>
      <c r="L41" s="22"/>
      <c r="M41" s="11"/>
      <c r="N41" s="11"/>
    </row>
    <row r="42" spans="1:14" ht="12.75">
      <c r="A42" s="22"/>
      <c r="B42" s="22"/>
      <c r="C42" s="22"/>
      <c r="D42" s="22"/>
      <c r="E42" s="22"/>
      <c r="F42" s="51"/>
      <c r="G42" s="51"/>
      <c r="H42" s="52"/>
      <c r="I42" s="53"/>
      <c r="J42" s="54"/>
      <c r="K42" s="55"/>
      <c r="L42" s="22"/>
      <c r="M42" s="11"/>
      <c r="N42" s="11"/>
    </row>
    <row r="43" spans="1:14" ht="12.75">
      <c r="A43" s="11"/>
      <c r="B43" s="11"/>
      <c r="C43" s="11"/>
      <c r="D43" s="11"/>
      <c r="E43" s="11"/>
      <c r="F43" s="11"/>
      <c r="G43" s="11"/>
      <c r="H43" s="26"/>
      <c r="I43" s="26"/>
      <c r="J43" s="26"/>
      <c r="K43" s="26"/>
      <c r="L43" s="22"/>
      <c r="M43" s="11"/>
      <c r="N43" s="11"/>
    </row>
    <row r="44" spans="1:14" ht="15.75">
      <c r="A44" s="241" t="s">
        <v>20</v>
      </c>
      <c r="B44" s="242"/>
      <c r="C44" s="242"/>
      <c r="D44" s="242"/>
      <c r="E44" s="241" t="s">
        <v>37</v>
      </c>
      <c r="F44" s="243"/>
      <c r="G44" s="242"/>
      <c r="H44" s="243" t="s">
        <v>57</v>
      </c>
      <c r="I44" s="244"/>
      <c r="J44" s="244"/>
      <c r="K44" s="245"/>
      <c r="L44" s="22"/>
      <c r="M44" s="246" t="s">
        <v>252</v>
      </c>
      <c r="N44" s="11"/>
    </row>
    <row r="45" spans="1:14" ht="15.75">
      <c r="A45" s="78"/>
      <c r="B45" s="10" t="s">
        <v>67</v>
      </c>
      <c r="C45" s="285">
        <v>1</v>
      </c>
      <c r="D45" s="9" t="s">
        <v>21</v>
      </c>
      <c r="E45" s="105">
        <f>E22*C45</f>
        <v>76586.82821649141</v>
      </c>
      <c r="F45" s="9" t="s">
        <v>22</v>
      </c>
      <c r="G45" s="9"/>
      <c r="H45" s="19" t="s">
        <v>274</v>
      </c>
      <c r="I45" s="18"/>
      <c r="J45" s="18"/>
      <c r="K45" s="79"/>
      <c r="L45" s="22"/>
      <c r="M45" s="127" t="s">
        <v>253</v>
      </c>
      <c r="N45" s="11"/>
    </row>
    <row r="46" spans="1:14" ht="15.75">
      <c r="A46" s="78"/>
      <c r="B46" s="9"/>
      <c r="C46" s="20"/>
      <c r="D46" s="9"/>
      <c r="E46" s="124">
        <f>E23*C45</f>
        <v>1</v>
      </c>
      <c r="F46" s="85" t="s">
        <v>241</v>
      </c>
      <c r="G46" s="9"/>
      <c r="H46" s="45" t="s">
        <v>88</v>
      </c>
      <c r="I46" s="45" t="s">
        <v>89</v>
      </c>
      <c r="J46" s="45" t="s">
        <v>90</v>
      </c>
      <c r="K46" s="80" t="s">
        <v>91</v>
      </c>
      <c r="L46" s="22"/>
      <c r="M46" s="44" t="s">
        <v>91</v>
      </c>
      <c r="N46" s="11"/>
    </row>
    <row r="47" spans="1:14" ht="12.75">
      <c r="A47" s="13"/>
      <c r="B47" s="10" t="s">
        <v>50</v>
      </c>
      <c r="C47" s="9"/>
      <c r="D47" s="9"/>
      <c r="E47" s="13"/>
      <c r="F47" s="9"/>
      <c r="G47" s="9"/>
      <c r="H47" s="9"/>
      <c r="I47" s="9"/>
      <c r="J47" s="9"/>
      <c r="K47" s="81"/>
      <c r="L47" s="22"/>
      <c r="M47" s="81"/>
      <c r="N47" s="11"/>
    </row>
    <row r="48" spans="1:14" ht="15.75">
      <c r="A48" s="13"/>
      <c r="B48" s="9" t="s">
        <v>236</v>
      </c>
      <c r="C48" s="286">
        <v>0.0004</v>
      </c>
      <c r="D48" s="9" t="s">
        <v>68</v>
      </c>
      <c r="E48" s="13"/>
      <c r="F48" s="9"/>
      <c r="G48" s="9"/>
      <c r="H48" s="76">
        <f>$C48*$E$46*VLOOKUP($B48,'Standard values'!$C$8:$R$131,6,FALSE)/$E$132</f>
        <v>0.09094838588126081</v>
      </c>
      <c r="I48" s="76">
        <f>$C48*$E$46*VLOOKUP($B48,'Standard values'!$C$8:$R$131,7,FALSE)/$E$132</f>
        <v>0.00022179717349869472</v>
      </c>
      <c r="J48" s="76">
        <f>$C48*$E$46*VLOOKUP($B48,'Standard values'!$C$8:$R$131,8,FALSE)/$E$132</f>
        <v>4.120136084794235E-06</v>
      </c>
      <c r="K48" s="118">
        <f>H48*'Standard values'!$G$9+I48*'Standard values'!$G$10+J48*'Standard values'!$G$11</f>
        <v>0.09726928115282989</v>
      </c>
      <c r="L48" s="22"/>
      <c r="M48" s="128">
        <f>+K48/$E$24</f>
        <v>0.7598937827222223</v>
      </c>
      <c r="N48" s="11"/>
    </row>
    <row r="49" spans="1:14" ht="12.75">
      <c r="A49" s="82"/>
      <c r="B49" s="9"/>
      <c r="C49" s="19"/>
      <c r="D49" s="9"/>
      <c r="E49" s="13"/>
      <c r="F49" s="9"/>
      <c r="G49" s="9"/>
      <c r="H49" s="9"/>
      <c r="I49" s="9"/>
      <c r="J49" s="9"/>
      <c r="K49" s="81"/>
      <c r="L49" s="22"/>
      <c r="M49" s="11"/>
      <c r="N49" s="11"/>
    </row>
    <row r="50" spans="1:14" ht="15.75">
      <c r="A50" s="233"/>
      <c r="B50" s="234"/>
      <c r="C50" s="234"/>
      <c r="D50" s="234"/>
      <c r="E50" s="233"/>
      <c r="F50" s="235"/>
      <c r="G50" s="235" t="s">
        <v>60</v>
      </c>
      <c r="H50" s="234"/>
      <c r="I50" s="237" t="s">
        <v>83</v>
      </c>
      <c r="J50" s="240"/>
      <c r="K50" s="239">
        <f>K48</f>
        <v>0.09726928115282989</v>
      </c>
      <c r="L50" s="22"/>
      <c r="M50" s="11"/>
      <c r="N50" s="11"/>
    </row>
    <row r="51" spans="1:14" ht="12.75">
      <c r="A51" s="11"/>
      <c r="B51" s="11"/>
      <c r="C51" s="11"/>
      <c r="D51" s="11"/>
      <c r="E51" s="11"/>
      <c r="F51" s="47"/>
      <c r="G51" s="47"/>
      <c r="H51" s="11"/>
      <c r="I51" s="48"/>
      <c r="J51" s="49"/>
      <c r="K51" s="50"/>
      <c r="L51" s="22"/>
      <c r="M51" s="11"/>
      <c r="N51" s="11"/>
    </row>
    <row r="52" spans="1:14" ht="12.75">
      <c r="A52" s="11"/>
      <c r="B52" s="11"/>
      <c r="C52" s="11"/>
      <c r="D52" s="11"/>
      <c r="E52" s="11"/>
      <c r="F52" s="11"/>
      <c r="G52" s="11"/>
      <c r="H52" s="26"/>
      <c r="I52" s="26"/>
      <c r="J52" s="26"/>
      <c r="K52" s="26"/>
      <c r="L52" s="22"/>
      <c r="M52" s="11"/>
      <c r="N52" s="11"/>
    </row>
    <row r="53" spans="1:14" ht="15.75">
      <c r="A53" s="241" t="s">
        <v>19</v>
      </c>
      <c r="B53" s="242"/>
      <c r="C53" s="242"/>
      <c r="D53" s="242"/>
      <c r="E53" s="241" t="s">
        <v>37</v>
      </c>
      <c r="F53" s="243"/>
      <c r="G53" s="242"/>
      <c r="H53" s="243" t="s">
        <v>57</v>
      </c>
      <c r="I53" s="244"/>
      <c r="J53" s="244"/>
      <c r="K53" s="245"/>
      <c r="L53" s="22"/>
      <c r="M53" s="246" t="s">
        <v>252</v>
      </c>
      <c r="N53" s="11"/>
    </row>
    <row r="54" spans="1:14" ht="15.75">
      <c r="A54" s="13"/>
      <c r="B54" s="10" t="s">
        <v>67</v>
      </c>
      <c r="C54" s="285">
        <f>1/1.01</f>
        <v>0.9900990099009901</v>
      </c>
      <c r="D54" s="9" t="s">
        <v>21</v>
      </c>
      <c r="E54" s="106">
        <f>E45*C54</f>
        <v>75828.54278860535</v>
      </c>
      <c r="F54" s="9" t="s">
        <v>22</v>
      </c>
      <c r="G54" s="9"/>
      <c r="H54" s="19" t="s">
        <v>274</v>
      </c>
      <c r="I54" s="18"/>
      <c r="J54" s="18"/>
      <c r="K54" s="79"/>
      <c r="L54" s="22"/>
      <c r="M54" s="127" t="s">
        <v>253</v>
      </c>
      <c r="N54" s="11"/>
    </row>
    <row r="55" spans="1:14" ht="15.75">
      <c r="A55" s="13"/>
      <c r="B55" s="9"/>
      <c r="C55" s="9"/>
      <c r="D55" s="9"/>
      <c r="E55" s="124">
        <f>E46*C54</f>
        <v>0.9900990099009901</v>
      </c>
      <c r="F55" s="85" t="s">
        <v>241</v>
      </c>
      <c r="G55" s="9"/>
      <c r="H55" s="45" t="s">
        <v>88</v>
      </c>
      <c r="I55" s="45" t="s">
        <v>89</v>
      </c>
      <c r="J55" s="45" t="s">
        <v>90</v>
      </c>
      <c r="K55" s="80" t="s">
        <v>91</v>
      </c>
      <c r="L55" s="22"/>
      <c r="M55" s="44" t="s">
        <v>91</v>
      </c>
      <c r="N55" s="11"/>
    </row>
    <row r="56" spans="1:14" ht="12.75">
      <c r="A56" s="13"/>
      <c r="B56" s="10" t="s">
        <v>27</v>
      </c>
      <c r="C56" s="9"/>
      <c r="D56" s="9"/>
      <c r="E56" s="124"/>
      <c r="F56" s="85"/>
      <c r="G56" s="9"/>
      <c r="H56" s="45"/>
      <c r="I56" s="45"/>
      <c r="J56" s="45"/>
      <c r="K56" s="80"/>
      <c r="L56" s="22"/>
      <c r="M56" s="81"/>
      <c r="N56" s="11"/>
    </row>
    <row r="57" spans="1:14" ht="15.75">
      <c r="A57" s="13"/>
      <c r="B57" s="9" t="s">
        <v>148</v>
      </c>
      <c r="C57" s="286">
        <v>50</v>
      </c>
      <c r="D57" s="9" t="s">
        <v>34</v>
      </c>
      <c r="E57" s="125">
        <f>(C57*E55)/(VLOOKUP($B54,'Standard values'!$C$8:$R$131,13,FALSE))/(1-$C$23)/1000</f>
        <v>0.003366538625980925</v>
      </c>
      <c r="F57" s="9" t="s">
        <v>242</v>
      </c>
      <c r="G57" s="9"/>
      <c r="H57" s="76">
        <f>$E57*VLOOKUP($B57,'Standard values'!$C$8:$R$131,14,FALSE)*VLOOKUP(C58,'Standard values'!$C$8:$P$131,6,FALSE)/$E$132</f>
        <v>0.5198094339744687</v>
      </c>
      <c r="I57" s="76">
        <f>$E57*VLOOKUP($B57,'Standard values'!$C$8:$R$131,15,FALSE)/$E$132</f>
        <v>3.168410544766967E-05</v>
      </c>
      <c r="J57" s="76">
        <f>$E57*VLOOKUP($B57,'Standard values'!$C$8:$R$131,16,FALSE)/$E$132</f>
        <v>0</v>
      </c>
      <c r="K57" s="118">
        <f>H57*'Standard values'!$G$9+I57*'Standard values'!$G$10+J57*'Standard values'!$G$11</f>
        <v>0.5205381683997651</v>
      </c>
      <c r="L57" s="22"/>
      <c r="M57" s="128">
        <f>+K57/$E$24</f>
        <v>4.066584158415842</v>
      </c>
      <c r="N57" s="11"/>
    </row>
    <row r="58" spans="1:14" ht="12.75">
      <c r="A58" s="13"/>
      <c r="B58" s="23" t="s">
        <v>244</v>
      </c>
      <c r="C58" s="287" t="s">
        <v>33</v>
      </c>
      <c r="D58" s="9"/>
      <c r="E58" s="125"/>
      <c r="F58" s="9"/>
      <c r="G58" s="9"/>
      <c r="H58" s="76"/>
      <c r="I58" s="76"/>
      <c r="J58" s="76"/>
      <c r="K58" s="118"/>
      <c r="L58" s="22"/>
      <c r="M58" s="11"/>
      <c r="N58" s="11"/>
    </row>
    <row r="59" spans="1:14" ht="12.75">
      <c r="A59" s="13"/>
      <c r="B59" s="9"/>
      <c r="C59" s="9"/>
      <c r="D59" s="9"/>
      <c r="E59" s="13"/>
      <c r="F59" s="9"/>
      <c r="G59" s="83"/>
      <c r="H59" s="76"/>
      <c r="I59" s="76"/>
      <c r="J59" s="76"/>
      <c r="K59" s="118"/>
      <c r="L59" s="22"/>
      <c r="M59" s="11"/>
      <c r="N59" s="11"/>
    </row>
    <row r="60" spans="1:14" ht="15.75">
      <c r="A60" s="233"/>
      <c r="B60" s="234"/>
      <c r="C60" s="234"/>
      <c r="D60" s="234"/>
      <c r="E60" s="233"/>
      <c r="F60" s="235"/>
      <c r="G60" s="235" t="s">
        <v>60</v>
      </c>
      <c r="H60" s="234"/>
      <c r="I60" s="237" t="s">
        <v>83</v>
      </c>
      <c r="J60" s="240"/>
      <c r="K60" s="239">
        <f>K57</f>
        <v>0.5205381683997651</v>
      </c>
      <c r="L60" s="22"/>
      <c r="M60" s="11"/>
      <c r="N60" s="11"/>
    </row>
    <row r="61" spans="1:14" ht="12.75">
      <c r="A61" s="11"/>
      <c r="B61" s="11"/>
      <c r="C61" s="11"/>
      <c r="D61" s="11"/>
      <c r="E61" s="11"/>
      <c r="F61" s="47"/>
      <c r="G61" s="47"/>
      <c r="H61" s="11"/>
      <c r="I61" s="48"/>
      <c r="J61" s="49"/>
      <c r="K61" s="50"/>
      <c r="L61" s="22"/>
      <c r="M61" s="22"/>
      <c r="N61" s="22"/>
    </row>
    <row r="62" spans="1:14" ht="12.75">
      <c r="A62" s="11"/>
      <c r="B62" s="11"/>
      <c r="C62" s="11"/>
      <c r="D62" s="11"/>
      <c r="E62" s="11"/>
      <c r="F62" s="11"/>
      <c r="G62" s="11"/>
      <c r="H62" s="11"/>
      <c r="I62" s="11"/>
      <c r="J62" s="11"/>
      <c r="K62" s="46"/>
      <c r="L62" s="22"/>
      <c r="M62" s="22"/>
      <c r="N62" s="22"/>
    </row>
    <row r="63" spans="1:14" ht="15.75">
      <c r="A63" s="241" t="s">
        <v>62</v>
      </c>
      <c r="B63" s="242"/>
      <c r="C63" s="242"/>
      <c r="D63" s="242"/>
      <c r="E63" s="241" t="s">
        <v>37</v>
      </c>
      <c r="F63" s="243"/>
      <c r="G63" s="242"/>
      <c r="H63" s="243" t="s">
        <v>57</v>
      </c>
      <c r="I63" s="244"/>
      <c r="J63" s="244"/>
      <c r="K63" s="245"/>
      <c r="L63" s="22"/>
      <c r="M63" s="141"/>
      <c r="N63" s="22"/>
    </row>
    <row r="64" spans="1:14" ht="12.75">
      <c r="A64" s="13"/>
      <c r="B64" s="10" t="s">
        <v>49</v>
      </c>
      <c r="C64" s="9"/>
      <c r="D64" s="9"/>
      <c r="E64" s="106"/>
      <c r="F64" s="9"/>
      <c r="G64" s="9"/>
      <c r="H64" s="19" t="s">
        <v>274</v>
      </c>
      <c r="I64" s="18"/>
      <c r="J64" s="18"/>
      <c r="K64" s="79"/>
      <c r="L64" s="22"/>
      <c r="M64" s="56"/>
      <c r="N64" s="22"/>
    </row>
    <row r="65" spans="1:14" ht="15.75">
      <c r="A65" s="13"/>
      <c r="B65" s="9" t="s">
        <v>28</v>
      </c>
      <c r="C65" s="285">
        <f>1/1.86365908243193</f>
        <v>0.5365788246502026</v>
      </c>
      <c r="D65" s="9" t="s">
        <v>23</v>
      </c>
      <c r="E65" s="106">
        <f>E54*C65</f>
        <v>40687.990364447454</v>
      </c>
      <c r="F65" s="9" t="s">
        <v>63</v>
      </c>
      <c r="G65" s="9"/>
      <c r="H65" s="45" t="s">
        <v>88</v>
      </c>
      <c r="I65" s="45" t="s">
        <v>89</v>
      </c>
      <c r="J65" s="45" t="s">
        <v>90</v>
      </c>
      <c r="K65" s="80" t="s">
        <v>91</v>
      </c>
      <c r="L65" s="22"/>
      <c r="M65" s="142"/>
      <c r="N65" s="22"/>
    </row>
    <row r="66" spans="1:14" ht="15.75">
      <c r="A66" s="84"/>
      <c r="B66" s="85" t="s">
        <v>100</v>
      </c>
      <c r="C66" s="284">
        <v>1.14</v>
      </c>
      <c r="D66" s="85" t="s">
        <v>17</v>
      </c>
      <c r="E66" s="124">
        <f>E55*C65</f>
        <v>0.5312661630200025</v>
      </c>
      <c r="F66" s="85" t="s">
        <v>241</v>
      </c>
      <c r="G66" s="9"/>
      <c r="H66" s="9"/>
      <c r="I66" s="9"/>
      <c r="J66" s="9"/>
      <c r="K66" s="81"/>
      <c r="L66" s="22"/>
      <c r="M66" s="22"/>
      <c r="N66" s="22"/>
    </row>
    <row r="67" spans="1:14" ht="12.75">
      <c r="A67" s="84"/>
      <c r="B67" s="85"/>
      <c r="C67" s="86"/>
      <c r="D67" s="85"/>
      <c r="E67" s="84"/>
      <c r="F67" s="9"/>
      <c r="G67" s="9"/>
      <c r="H67" s="9"/>
      <c r="I67" s="9"/>
      <c r="J67" s="9"/>
      <c r="K67" s="81"/>
      <c r="L67" s="22"/>
      <c r="M67" s="22"/>
      <c r="N67" s="22"/>
    </row>
    <row r="68" spans="1:14" ht="12.75">
      <c r="A68" s="13"/>
      <c r="B68" s="10" t="s">
        <v>50</v>
      </c>
      <c r="C68" s="9"/>
      <c r="D68" s="9"/>
      <c r="E68" s="38"/>
      <c r="F68" s="9"/>
      <c r="G68" s="9"/>
      <c r="H68" s="9"/>
      <c r="I68" s="9"/>
      <c r="J68" s="9"/>
      <c r="K68" s="81"/>
      <c r="L68" s="22"/>
      <c r="M68" s="22"/>
      <c r="N68" s="22"/>
    </row>
    <row r="69" spans="1:14" ht="15.75">
      <c r="A69" s="13"/>
      <c r="B69" s="9" t="s">
        <v>237</v>
      </c>
      <c r="C69" s="285">
        <f>1.4*0.0540842969041402</f>
        <v>0.07571801566579626</v>
      </c>
      <c r="D69" s="9" t="s">
        <v>24</v>
      </c>
      <c r="E69" s="13"/>
      <c r="F69" s="9"/>
      <c r="G69" s="9"/>
      <c r="H69" s="76">
        <f>$C69*$E$66*VLOOKUP($B69,'Standard values'!$C$8:$R$131,6,FALSE)/$E$132</f>
        <v>9.037866405570051</v>
      </c>
      <c r="I69" s="76">
        <f>$C69*$E$66*VLOOKUP($B69,'Standard values'!$C$8:$R$131,7,FALSE)/$E$132</f>
        <v>0.022040252393385532</v>
      </c>
      <c r="J69" s="76">
        <f>$C69*$E$66*VLOOKUP($B69,'Standard values'!$C$8:$R$131,8,FALSE)/$E$132</f>
        <v>0.00040803597331012434</v>
      </c>
      <c r="K69" s="91">
        <f>H69*'Standard values'!$G$9+I69*'Standard values'!$G$10+J69*'Standard values'!$G$11</f>
        <v>9.665570858717716</v>
      </c>
      <c r="L69" s="22"/>
      <c r="M69" s="143"/>
      <c r="N69" s="22"/>
    </row>
    <row r="70" spans="1:14" ht="15.75">
      <c r="A70" s="13"/>
      <c r="B70" s="9" t="s">
        <v>25</v>
      </c>
      <c r="C70" s="285">
        <f>1.4*0.36367027228646</f>
        <v>0.5091383812010439</v>
      </c>
      <c r="D70" s="9" t="s">
        <v>24</v>
      </c>
      <c r="E70" s="13"/>
      <c r="F70" s="9"/>
      <c r="G70" s="9"/>
      <c r="H70" s="76">
        <f>$C70*$E$66*VLOOKUP($B70,'Standard values'!$C$8:$R$131,6,FALSE)/$E$132</f>
        <v>36.834758355091346</v>
      </c>
      <c r="I70" s="76">
        <f>$C70*$E$66*VLOOKUP($B70,'Standard values'!$C$8:$R$131,7,FALSE)/$E$132</f>
        <v>0.11646732182574208</v>
      </c>
      <c r="J70" s="76">
        <f>$C70*$E$66*VLOOKUP($B70,'Standard values'!$C$8:$R$131,8,FALSE)/$E$132</f>
        <v>0.0007462962962962957</v>
      </c>
      <c r="K70" s="91">
        <f>H70*'Standard values'!$G$9+I70*'Standard values'!$G$10+J70*'Standard values'!$G$11</f>
        <v>39.73441046078712</v>
      </c>
      <c r="L70" s="22"/>
      <c r="M70" s="143"/>
      <c r="N70" s="22"/>
    </row>
    <row r="71" spans="1:14" ht="12.75">
      <c r="A71" s="13"/>
      <c r="B71" s="9"/>
      <c r="C71" s="39"/>
      <c r="D71" s="39"/>
      <c r="E71" s="107"/>
      <c r="F71" s="9"/>
      <c r="G71" s="9"/>
      <c r="H71" s="88">
        <f>SUM(H66:H70)</f>
        <v>45.872624760661395</v>
      </c>
      <c r="I71" s="88">
        <f>SUM(I66:I70)</f>
        <v>0.13850757421912763</v>
      </c>
      <c r="J71" s="88">
        <f>SUM(J66:J70)</f>
        <v>0.00115433226960642</v>
      </c>
      <c r="K71" s="118">
        <f>H71*'Standard values'!$G$9+I71*'Standard values'!$G$10+J71*'Standard values'!$G$11</f>
        <v>49.39998131950483</v>
      </c>
      <c r="L71" s="22"/>
      <c r="M71" s="144"/>
      <c r="N71" s="22"/>
    </row>
    <row r="72" spans="1:14" ht="12.75">
      <c r="A72" s="13"/>
      <c r="B72" s="89"/>
      <c r="C72" s="39"/>
      <c r="D72" s="39"/>
      <c r="E72" s="13"/>
      <c r="F72" s="9"/>
      <c r="G72" s="9"/>
      <c r="H72" s="9"/>
      <c r="I72" s="9"/>
      <c r="J72" s="9"/>
      <c r="K72" s="81"/>
      <c r="L72" s="22"/>
      <c r="M72" s="22"/>
      <c r="N72" s="22"/>
    </row>
    <row r="73" spans="1:14" ht="15.75">
      <c r="A73" s="233"/>
      <c r="B73" s="234"/>
      <c r="C73" s="234"/>
      <c r="D73" s="234"/>
      <c r="E73" s="233"/>
      <c r="F73" s="235"/>
      <c r="G73" s="235" t="s">
        <v>60</v>
      </c>
      <c r="H73" s="234"/>
      <c r="I73" s="237" t="s">
        <v>83</v>
      </c>
      <c r="J73" s="240"/>
      <c r="K73" s="239">
        <f>K71</f>
        <v>49.39998131950483</v>
      </c>
      <c r="L73" s="22"/>
      <c r="M73" s="22"/>
      <c r="N73" s="22"/>
    </row>
    <row r="74" spans="1:14" ht="12.75">
      <c r="A74" s="11"/>
      <c r="B74" s="11"/>
      <c r="C74" s="11"/>
      <c r="D74" s="11"/>
      <c r="E74" s="11"/>
      <c r="F74" s="47"/>
      <c r="G74" s="47"/>
      <c r="H74" s="11"/>
      <c r="I74" s="48"/>
      <c r="J74" s="49"/>
      <c r="K74" s="59"/>
      <c r="L74" s="22"/>
      <c r="M74" s="11"/>
      <c r="N74" s="11"/>
    </row>
    <row r="75" spans="1:14" ht="12.75">
      <c r="A75" s="11"/>
      <c r="B75" s="11"/>
      <c r="C75" s="11"/>
      <c r="D75" s="11"/>
      <c r="E75" s="11"/>
      <c r="F75" s="47"/>
      <c r="G75" s="47"/>
      <c r="H75" s="11"/>
      <c r="I75" s="48"/>
      <c r="J75" s="49"/>
      <c r="K75" s="59"/>
      <c r="L75" s="22"/>
      <c r="M75" s="11"/>
      <c r="N75" s="11"/>
    </row>
    <row r="76" spans="1:14" ht="15.75">
      <c r="A76" s="241" t="s">
        <v>92</v>
      </c>
      <c r="B76" s="242"/>
      <c r="C76" s="242"/>
      <c r="D76" s="242"/>
      <c r="E76" s="247" t="s">
        <v>51</v>
      </c>
      <c r="F76" s="248"/>
      <c r="G76" s="248"/>
      <c r="H76" s="249"/>
      <c r="I76" s="247" t="s">
        <v>83</v>
      </c>
      <c r="J76" s="249"/>
      <c r="K76" s="250">
        <f>K41+K50+K60+K73</f>
        <v>89.18809936069863</v>
      </c>
      <c r="L76" s="22"/>
      <c r="M76" s="11"/>
      <c r="N76" s="11"/>
    </row>
    <row r="77" spans="1:14" ht="15.75">
      <c r="A77" s="251" t="s">
        <v>58</v>
      </c>
      <c r="B77" s="252"/>
      <c r="C77" s="252"/>
      <c r="D77" s="252"/>
      <c r="E77" s="253"/>
      <c r="F77" s="253"/>
      <c r="G77" s="253"/>
      <c r="H77" s="253"/>
      <c r="I77" s="253"/>
      <c r="J77" s="253"/>
      <c r="K77" s="254"/>
      <c r="L77" s="22"/>
      <c r="M77" s="11"/>
      <c r="N77" s="11"/>
    </row>
    <row r="78" spans="1:14" ht="15.75">
      <c r="A78" s="6"/>
      <c r="B78" s="1"/>
      <c r="C78" s="1"/>
      <c r="D78" s="69"/>
      <c r="E78" s="69"/>
      <c r="F78" s="69"/>
      <c r="G78" s="69" t="s">
        <v>340</v>
      </c>
      <c r="H78" s="158">
        <f>K76</f>
        <v>89.18809936069863</v>
      </c>
      <c r="I78" s="1" t="s">
        <v>273</v>
      </c>
      <c r="J78" s="1"/>
      <c r="K78" s="7"/>
      <c r="L78" s="22"/>
      <c r="M78" s="11"/>
      <c r="N78" s="11"/>
    </row>
    <row r="79" spans="1:14" ht="15.75">
      <c r="A79" s="6"/>
      <c r="B79" s="1" t="s">
        <v>238</v>
      </c>
      <c r="C79" s="1" t="s">
        <v>28</v>
      </c>
      <c r="D79" s="1"/>
      <c r="E79" s="69" t="s">
        <v>271</v>
      </c>
      <c r="F79" s="70">
        <f>1*1000*VLOOKUP($C79,'Standard values'!$C$8:$R$131,13,FALSE)</f>
        <v>26810</v>
      </c>
      <c r="G79" s="1" t="s">
        <v>30</v>
      </c>
      <c r="H79" s="5">
        <f>$H$78*F79/F$81</f>
        <v>53.07731284928591</v>
      </c>
      <c r="I79" s="1" t="s">
        <v>273</v>
      </c>
      <c r="J79" s="1"/>
      <c r="K79" s="7"/>
      <c r="L79" s="22"/>
      <c r="M79" s="11"/>
      <c r="N79" s="11"/>
    </row>
    <row r="80" spans="1:14" ht="15.75">
      <c r="A80" s="6"/>
      <c r="B80" s="1" t="s">
        <v>239</v>
      </c>
      <c r="C80" s="1" t="s">
        <v>44</v>
      </c>
      <c r="D80" s="1"/>
      <c r="E80" s="69" t="s">
        <v>270</v>
      </c>
      <c r="F80" s="70">
        <f>C66*1000*VLOOKUP($C80,'Standard values'!$C$8:$R$131,13,FALSE)</f>
        <v>18240</v>
      </c>
      <c r="G80" s="1" t="s">
        <v>30</v>
      </c>
      <c r="H80" s="5">
        <f>$H$78*F80/F$81</f>
        <v>36.11078651141272</v>
      </c>
      <c r="I80" s="1" t="s">
        <v>273</v>
      </c>
      <c r="J80" s="1"/>
      <c r="K80" s="7"/>
      <c r="L80" s="22"/>
      <c r="M80" s="11"/>
      <c r="N80" s="11"/>
    </row>
    <row r="81" spans="1:14" ht="12.75">
      <c r="A81" s="6"/>
      <c r="B81" s="1"/>
      <c r="C81" s="1"/>
      <c r="D81" s="1"/>
      <c r="E81" s="1" t="s">
        <v>59</v>
      </c>
      <c r="F81" s="70">
        <f>SUM(F79:F80)</f>
        <v>45050</v>
      </c>
      <c r="G81" s="1" t="s">
        <v>30</v>
      </c>
      <c r="H81" s="1"/>
      <c r="I81" s="1"/>
      <c r="J81" s="1"/>
      <c r="K81" s="7"/>
      <c r="L81" s="22"/>
      <c r="M81" s="11"/>
      <c r="N81" s="11"/>
    </row>
    <row r="82" spans="1:14" ht="15.75">
      <c r="A82" s="233"/>
      <c r="B82" s="234"/>
      <c r="C82" s="234"/>
      <c r="D82" s="234"/>
      <c r="E82" s="237" t="s">
        <v>93</v>
      </c>
      <c r="F82" s="235"/>
      <c r="G82" s="260"/>
      <c r="H82" s="234"/>
      <c r="I82" s="237" t="s">
        <v>83</v>
      </c>
      <c r="J82" s="260"/>
      <c r="K82" s="239">
        <f>H79</f>
        <v>53.07731284928591</v>
      </c>
      <c r="L82" s="22"/>
      <c r="M82" s="22"/>
      <c r="N82" s="22"/>
    </row>
    <row r="83" spans="1:14" ht="12.75">
      <c r="A83" s="11"/>
      <c r="B83" s="11"/>
      <c r="C83" s="11"/>
      <c r="D83" s="22"/>
      <c r="E83" s="22"/>
      <c r="F83" s="49"/>
      <c r="G83" s="66"/>
      <c r="H83" s="56"/>
      <c r="I83" s="22"/>
      <c r="J83" s="22"/>
      <c r="K83" s="71"/>
      <c r="L83" s="22"/>
      <c r="M83" s="22"/>
      <c r="N83" s="22"/>
    </row>
    <row r="84" spans="1:14" ht="12.75">
      <c r="A84" s="46"/>
      <c r="B84" s="59"/>
      <c r="C84" s="60"/>
      <c r="D84" s="11"/>
      <c r="E84" s="22"/>
      <c r="F84" s="22"/>
      <c r="G84" s="22"/>
      <c r="H84" s="22"/>
      <c r="I84" s="65"/>
      <c r="J84" s="22"/>
      <c r="K84" s="22"/>
      <c r="L84" s="22"/>
      <c r="M84" s="22"/>
      <c r="N84" s="22"/>
    </row>
    <row r="85" spans="1:14" ht="15.75">
      <c r="A85" s="241" t="s">
        <v>64</v>
      </c>
      <c r="B85" s="243" t="s">
        <v>102</v>
      </c>
      <c r="C85" s="242"/>
      <c r="D85" s="242"/>
      <c r="E85" s="241" t="s">
        <v>37</v>
      </c>
      <c r="F85" s="243"/>
      <c r="G85" s="242"/>
      <c r="H85" s="243" t="s">
        <v>57</v>
      </c>
      <c r="I85" s="244"/>
      <c r="J85" s="244"/>
      <c r="K85" s="245"/>
      <c r="L85" s="22"/>
      <c r="M85" s="141"/>
      <c r="N85" s="22"/>
    </row>
    <row r="86" spans="1:14" ht="15.75">
      <c r="A86" s="13"/>
      <c r="B86" s="10" t="s">
        <v>28</v>
      </c>
      <c r="C86" s="290">
        <v>1</v>
      </c>
      <c r="D86" s="9" t="s">
        <v>26</v>
      </c>
      <c r="E86" s="38">
        <f>E65*C86</f>
        <v>40687.990364447454</v>
      </c>
      <c r="F86" s="9" t="s">
        <v>63</v>
      </c>
      <c r="G86" s="90"/>
      <c r="H86" s="19" t="s">
        <v>274</v>
      </c>
      <c r="I86" s="18"/>
      <c r="J86" s="18"/>
      <c r="K86" s="79"/>
      <c r="L86" s="22"/>
      <c r="M86" s="56"/>
      <c r="N86" s="22"/>
    </row>
    <row r="87" spans="1:14" ht="15.75">
      <c r="A87" s="13"/>
      <c r="B87" s="9"/>
      <c r="C87" s="9"/>
      <c r="D87" s="9"/>
      <c r="E87" s="124">
        <f>E66*C86</f>
        <v>0.5312661630200025</v>
      </c>
      <c r="F87" s="85" t="s">
        <v>241</v>
      </c>
      <c r="G87" s="90"/>
      <c r="H87" s="45" t="s">
        <v>88</v>
      </c>
      <c r="I87" s="45" t="s">
        <v>89</v>
      </c>
      <c r="J87" s="45" t="s">
        <v>90</v>
      </c>
      <c r="K87" s="80" t="s">
        <v>91</v>
      </c>
      <c r="L87" s="22"/>
      <c r="M87" s="142"/>
      <c r="N87" s="22"/>
    </row>
    <row r="88" spans="1:14" ht="12.75">
      <c r="A88" s="13"/>
      <c r="B88" s="10" t="s">
        <v>27</v>
      </c>
      <c r="C88" s="9"/>
      <c r="D88" s="9"/>
      <c r="E88" s="38"/>
      <c r="F88" s="9"/>
      <c r="G88" s="9"/>
      <c r="H88" s="9"/>
      <c r="I88" s="9"/>
      <c r="J88" s="9"/>
      <c r="K88" s="81"/>
      <c r="L88" s="22"/>
      <c r="M88" s="22"/>
      <c r="N88" s="22"/>
    </row>
    <row r="89" spans="1:14" ht="15.75">
      <c r="A89" s="13"/>
      <c r="B89" s="9" t="s">
        <v>249</v>
      </c>
      <c r="C89" s="288">
        <f>2*150</f>
        <v>300</v>
      </c>
      <c r="D89" s="9" t="s">
        <v>34</v>
      </c>
      <c r="E89" s="125">
        <f>(C89*E87/VLOOKUP($B86,'Standard values'!$C$8:$R$131,13,FALSE))/1000</f>
        <v>0.005944791081909763</v>
      </c>
      <c r="F89" s="9" t="s">
        <v>243</v>
      </c>
      <c r="G89" s="9"/>
      <c r="H89" s="76">
        <f>$E89*VLOOKUP($B89,'Standard values'!$C$8:$R$131,14,FALSE)*VLOOKUP(C90,'Standard values'!$C$8:$P$131,6,FALSE)/$E$132</f>
        <v>0.9885117493472584</v>
      </c>
      <c r="I89" s="76">
        <f>$E89*VLOOKUP($B89,'Standard values'!$C$8:$R$131,15,FALSE)/$E$132</f>
        <v>5.594927265945543E-05</v>
      </c>
      <c r="J89" s="76">
        <f>$E89*VLOOKUP($B89,'Standard values'!$C$8:$R$131,16,FALSE)/$E$132</f>
        <v>0</v>
      </c>
      <c r="K89" s="118">
        <f>H89*'Standard values'!$G$9+I89*'Standard values'!$G$10+J89*'Standard values'!$G$11</f>
        <v>0.9897985826184259</v>
      </c>
      <c r="L89" s="22"/>
      <c r="M89" s="22"/>
      <c r="N89" s="22"/>
    </row>
    <row r="90" spans="1:14" ht="12.75">
      <c r="A90" s="13"/>
      <c r="B90" s="23" t="s">
        <v>244</v>
      </c>
      <c r="C90" s="289" t="s">
        <v>33</v>
      </c>
      <c r="D90" s="9"/>
      <c r="E90" s="13"/>
      <c r="F90" s="9"/>
      <c r="G90" s="9"/>
      <c r="H90" s="76"/>
      <c r="I90" s="76"/>
      <c r="J90" s="76"/>
      <c r="K90" s="118"/>
      <c r="L90" s="22"/>
      <c r="M90" s="22"/>
      <c r="N90" s="22"/>
    </row>
    <row r="91" spans="1:14" ht="12.75">
      <c r="A91" s="13"/>
      <c r="B91" s="9"/>
      <c r="C91" s="17"/>
      <c r="D91" s="9"/>
      <c r="E91" s="125"/>
      <c r="F91" s="9"/>
      <c r="G91" s="9"/>
      <c r="H91" s="76"/>
      <c r="I91" s="76"/>
      <c r="J91" s="76"/>
      <c r="K91" s="118"/>
      <c r="L91" s="22"/>
      <c r="M91" s="22"/>
      <c r="N91" s="22"/>
    </row>
    <row r="92" spans="1:14" ht="12.75">
      <c r="A92" s="13"/>
      <c r="B92" s="10" t="s">
        <v>103</v>
      </c>
      <c r="C92" s="9"/>
      <c r="D92" s="9"/>
      <c r="E92" s="13"/>
      <c r="F92" s="9"/>
      <c r="G92" s="9"/>
      <c r="H92" s="76"/>
      <c r="I92" s="76"/>
      <c r="J92" s="76"/>
      <c r="K92" s="87"/>
      <c r="L92" s="22"/>
      <c r="M92" s="22"/>
      <c r="N92" s="22"/>
    </row>
    <row r="93" spans="1:14" ht="15.75">
      <c r="A93" s="82"/>
      <c r="B93" s="9" t="s">
        <v>236</v>
      </c>
      <c r="C93" s="288">
        <v>0.00084</v>
      </c>
      <c r="D93" s="9" t="s">
        <v>24</v>
      </c>
      <c r="E93" s="13"/>
      <c r="F93" s="9"/>
      <c r="G93" s="9"/>
      <c r="H93" s="76">
        <f>$C93*$E$87*VLOOKUP($B93,'Standard values'!$C$8:$R$131,6,FALSE)/$E$132</f>
        <v>0.10146738000000001</v>
      </c>
      <c r="I93" s="76">
        <f>$C93*$E$87*VLOOKUP($B93,'Standard values'!$C$8:$R$131,7,FALSE)/$E$132</f>
        <v>0.00024744999999999997</v>
      </c>
      <c r="J93" s="76">
        <f>$C93*$E$87*VLOOKUP($B93,'Standard values'!$C$8:$R$131,8,FALSE)/$E$132</f>
        <v>4.596666666666666E-06</v>
      </c>
      <c r="K93" s="118">
        <f>H93*'Standard values'!$G$9+I93*'Standard values'!$G$10+J93*'Standard values'!$G$11</f>
        <v>0.10851934333333334</v>
      </c>
      <c r="L93" s="22"/>
      <c r="M93" s="144"/>
      <c r="N93" s="22"/>
    </row>
    <row r="94" spans="1:14" ht="15.75">
      <c r="A94" s="233"/>
      <c r="B94" s="234"/>
      <c r="C94" s="234"/>
      <c r="D94" s="234"/>
      <c r="E94" s="233"/>
      <c r="F94" s="235"/>
      <c r="G94" s="235" t="s">
        <v>60</v>
      </c>
      <c r="H94" s="234"/>
      <c r="I94" s="237" t="s">
        <v>83</v>
      </c>
      <c r="J94" s="240"/>
      <c r="K94" s="239">
        <f>K93+K89</f>
        <v>1.0983179259517593</v>
      </c>
      <c r="L94" s="22"/>
      <c r="M94" s="144"/>
      <c r="N94" s="22"/>
    </row>
    <row r="95" spans="1:14" ht="12.75">
      <c r="A95" s="11"/>
      <c r="B95" s="11"/>
      <c r="C95" s="11"/>
      <c r="D95" s="11"/>
      <c r="E95" s="11"/>
      <c r="F95" s="47"/>
      <c r="G95" s="47"/>
      <c r="H95" s="11"/>
      <c r="I95" s="48"/>
      <c r="J95" s="49"/>
      <c r="K95" s="50"/>
      <c r="L95" s="22"/>
      <c r="M95" s="22"/>
      <c r="N95" s="22"/>
    </row>
    <row r="96" spans="1:14" ht="12.75">
      <c r="A96" s="11"/>
      <c r="B96" s="11"/>
      <c r="C96" s="11"/>
      <c r="D96" s="11"/>
      <c r="E96" s="11"/>
      <c r="F96" s="47"/>
      <c r="G96" s="47"/>
      <c r="H96" s="11"/>
      <c r="I96" s="48"/>
      <c r="J96" s="49"/>
      <c r="K96" s="50"/>
      <c r="L96" s="22"/>
      <c r="M96" s="22"/>
      <c r="N96" s="22"/>
    </row>
    <row r="97" spans="1:14" ht="15.75">
      <c r="A97" s="241" t="s">
        <v>94</v>
      </c>
      <c r="B97" s="242"/>
      <c r="C97" s="242"/>
      <c r="D97" s="242"/>
      <c r="E97" s="241" t="s">
        <v>37</v>
      </c>
      <c r="F97" s="242"/>
      <c r="G97" s="242"/>
      <c r="H97" s="242"/>
      <c r="I97" s="242"/>
      <c r="J97" s="242"/>
      <c r="K97" s="255"/>
      <c r="L97" s="22"/>
      <c r="M97" s="141"/>
      <c r="N97" s="22"/>
    </row>
    <row r="98" spans="1:14" ht="15.75">
      <c r="A98" s="13"/>
      <c r="B98" s="10" t="s">
        <v>49</v>
      </c>
      <c r="C98" s="291">
        <v>1</v>
      </c>
      <c r="D98" s="9" t="s">
        <v>26</v>
      </c>
      <c r="E98" s="38">
        <f>E86*C98</f>
        <v>40687.990364447454</v>
      </c>
      <c r="F98" s="9" t="s">
        <v>63</v>
      </c>
      <c r="G98" s="9"/>
      <c r="H98" s="19" t="s">
        <v>274</v>
      </c>
      <c r="I98" s="18"/>
      <c r="J98" s="18"/>
      <c r="K98" s="79"/>
      <c r="L98" s="22"/>
      <c r="M98" s="56"/>
      <c r="N98" s="22"/>
    </row>
    <row r="99" spans="1:14" ht="15.75">
      <c r="A99" s="13"/>
      <c r="B99" s="9"/>
      <c r="C99" s="9"/>
      <c r="D99" s="9"/>
      <c r="E99" s="124">
        <f>E87*C98</f>
        <v>0.5312661630200025</v>
      </c>
      <c r="F99" s="85" t="s">
        <v>241</v>
      </c>
      <c r="G99" s="9"/>
      <c r="H99" s="45" t="s">
        <v>88</v>
      </c>
      <c r="I99" s="45" t="s">
        <v>89</v>
      </c>
      <c r="J99" s="45" t="s">
        <v>90</v>
      </c>
      <c r="K99" s="80" t="s">
        <v>91</v>
      </c>
      <c r="L99" s="22"/>
      <c r="M99" s="142"/>
      <c r="N99" s="22"/>
    </row>
    <row r="100" spans="1:14" ht="12.75">
      <c r="A100" s="13"/>
      <c r="B100" s="10" t="s">
        <v>50</v>
      </c>
      <c r="C100" s="9"/>
      <c r="D100" s="9"/>
      <c r="E100" s="13"/>
      <c r="F100" s="9"/>
      <c r="G100" s="9"/>
      <c r="H100" s="76"/>
      <c r="I100" s="76"/>
      <c r="J100" s="76"/>
      <c r="K100" s="87"/>
      <c r="L100" s="22"/>
      <c r="M100" s="22"/>
      <c r="N100" s="22"/>
    </row>
    <row r="101" spans="1:14" ht="15.75">
      <c r="A101" s="13"/>
      <c r="B101" s="9" t="s">
        <v>236</v>
      </c>
      <c r="C101" s="292">
        <v>0.0034</v>
      </c>
      <c r="D101" s="9" t="s">
        <v>24</v>
      </c>
      <c r="E101" s="13"/>
      <c r="F101" s="9"/>
      <c r="G101" s="9"/>
      <c r="H101" s="76">
        <f>$C101*$E$87*VLOOKUP($B101,'Standard values'!$C$8:$R$131,6,FALSE)/$E$132</f>
        <v>0.4107013</v>
      </c>
      <c r="I101" s="76">
        <f>$C101*$E$87*VLOOKUP($B101,'Standard values'!$C$8:$R$131,7,FALSE)/$E$132</f>
        <v>0.0010015833333333333</v>
      </c>
      <c r="J101" s="76">
        <f>$C101*$E$87*VLOOKUP($B101,'Standard values'!$C$8:$R$131,8,FALSE)/$E$132</f>
        <v>1.8605555555555555E-05</v>
      </c>
      <c r="K101" s="118">
        <f>H101*'Standard values'!$G$9+I101*'Standard values'!$G$10+J101*'Standard values'!$G$11</f>
        <v>0.4392449611111111</v>
      </c>
      <c r="L101" s="22"/>
      <c r="M101" s="144"/>
      <c r="N101" s="22"/>
    </row>
    <row r="102" spans="1:14" ht="15.75">
      <c r="A102" s="233"/>
      <c r="B102" s="234"/>
      <c r="C102" s="234"/>
      <c r="D102" s="234"/>
      <c r="E102" s="233"/>
      <c r="F102" s="235"/>
      <c r="G102" s="235" t="s">
        <v>60</v>
      </c>
      <c r="H102" s="234"/>
      <c r="I102" s="237" t="s">
        <v>83</v>
      </c>
      <c r="J102" s="240"/>
      <c r="K102" s="239">
        <f>K101</f>
        <v>0.4392449611111111</v>
      </c>
      <c r="L102" s="22"/>
      <c r="M102" s="22"/>
      <c r="N102" s="22"/>
    </row>
    <row r="103" spans="1:14" ht="12.75">
      <c r="A103" s="11"/>
      <c r="B103" s="11"/>
      <c r="C103" s="11"/>
      <c r="D103" s="11"/>
      <c r="E103" s="11"/>
      <c r="F103" s="47"/>
      <c r="G103" s="47"/>
      <c r="H103" s="11"/>
      <c r="I103" s="48"/>
      <c r="J103" s="49"/>
      <c r="K103" s="72"/>
      <c r="L103" s="22"/>
      <c r="M103" s="22"/>
      <c r="N103" s="22"/>
    </row>
    <row r="104" spans="1:14" ht="12.75">
      <c r="A104" s="11"/>
      <c r="B104" s="11"/>
      <c r="C104" s="11"/>
      <c r="D104" s="11"/>
      <c r="E104" s="11"/>
      <c r="F104" s="47"/>
      <c r="G104" s="47"/>
      <c r="H104" s="11"/>
      <c r="I104" s="48"/>
      <c r="J104" s="49"/>
      <c r="K104" s="72"/>
      <c r="L104" s="22"/>
      <c r="M104" s="22"/>
      <c r="N104" s="22"/>
    </row>
    <row r="105" spans="1:14" ht="15.75">
      <c r="A105" s="241" t="s">
        <v>263</v>
      </c>
      <c r="B105" s="256"/>
      <c r="C105" s="257"/>
      <c r="D105" s="242"/>
      <c r="E105" s="258"/>
      <c r="F105" s="242"/>
      <c r="G105" s="242"/>
      <c r="H105" s="242"/>
      <c r="I105" s="242"/>
      <c r="J105" s="242"/>
      <c r="K105" s="259"/>
      <c r="L105" s="22"/>
      <c r="M105" s="22"/>
      <c r="N105" s="22"/>
    </row>
    <row r="106" spans="1:14" ht="15.75">
      <c r="A106" s="92"/>
      <c r="B106" s="21" t="s">
        <v>266</v>
      </c>
      <c r="C106" s="19"/>
      <c r="D106" s="9"/>
      <c r="E106" s="13"/>
      <c r="F106" s="9"/>
      <c r="G106" s="9"/>
      <c r="H106" s="19" t="s">
        <v>274</v>
      </c>
      <c r="I106" s="18"/>
      <c r="J106" s="18"/>
      <c r="K106" s="79"/>
      <c r="L106" s="22"/>
      <c r="M106" s="11"/>
      <c r="N106" s="11"/>
    </row>
    <row r="107" spans="1:14" ht="15.75">
      <c r="A107" s="13"/>
      <c r="B107" s="45"/>
      <c r="C107" s="288">
        <v>0</v>
      </c>
      <c r="D107" s="93" t="s">
        <v>70</v>
      </c>
      <c r="E107" s="13"/>
      <c r="F107" s="9"/>
      <c r="G107" s="9"/>
      <c r="H107" s="9"/>
      <c r="I107" s="9"/>
      <c r="J107" s="76"/>
      <c r="K107" s="118">
        <f>C107</f>
        <v>0</v>
      </c>
      <c r="L107" s="22"/>
      <c r="M107" s="11"/>
      <c r="N107" s="11"/>
    </row>
    <row r="108" spans="1:14" ht="15.75">
      <c r="A108" s="233"/>
      <c r="B108" s="234"/>
      <c r="C108" s="234"/>
      <c r="D108" s="234"/>
      <c r="E108" s="233"/>
      <c r="F108" s="235"/>
      <c r="G108" s="235" t="s">
        <v>60</v>
      </c>
      <c r="H108" s="234"/>
      <c r="I108" s="237" t="s">
        <v>83</v>
      </c>
      <c r="J108" s="240"/>
      <c r="K108" s="239">
        <f>C107</f>
        <v>0</v>
      </c>
      <c r="L108" s="22"/>
      <c r="M108" s="11"/>
      <c r="N108" s="11"/>
    </row>
    <row r="109" spans="1:14" ht="12.75">
      <c r="A109" s="11"/>
      <c r="B109" s="11"/>
      <c r="C109" s="11"/>
      <c r="D109" s="11"/>
      <c r="E109" s="11"/>
      <c r="F109" s="47"/>
      <c r="G109" s="47"/>
      <c r="H109" s="11"/>
      <c r="I109" s="48"/>
      <c r="J109" s="49"/>
      <c r="K109" s="73"/>
      <c r="L109" s="22"/>
      <c r="M109" s="11"/>
      <c r="N109" s="11"/>
    </row>
    <row r="110" spans="1:14" ht="12.75">
      <c r="A110" s="11"/>
      <c r="B110" s="11"/>
      <c r="C110" s="11"/>
      <c r="D110" s="11"/>
      <c r="E110" s="11"/>
      <c r="F110" s="47"/>
      <c r="G110" s="47"/>
      <c r="H110" s="11"/>
      <c r="I110" s="48"/>
      <c r="J110" s="49"/>
      <c r="K110" s="73"/>
      <c r="L110" s="22"/>
      <c r="M110" s="11"/>
      <c r="N110" s="11"/>
    </row>
    <row r="111" spans="1:14" ht="15.75">
      <c r="A111" s="241" t="s">
        <v>264</v>
      </c>
      <c r="B111" s="256"/>
      <c r="C111" s="257"/>
      <c r="D111" s="242"/>
      <c r="E111" s="258"/>
      <c r="F111" s="242"/>
      <c r="G111" s="242"/>
      <c r="H111" s="242"/>
      <c r="I111" s="242"/>
      <c r="J111" s="242"/>
      <c r="K111" s="259"/>
      <c r="L111" s="22"/>
      <c r="M111" s="11"/>
      <c r="N111" s="11"/>
    </row>
    <row r="112" spans="1:14" ht="15.75">
      <c r="A112" s="92"/>
      <c r="B112" s="21" t="s">
        <v>265</v>
      </c>
      <c r="C112" s="19"/>
      <c r="D112" s="95"/>
      <c r="E112" s="13"/>
      <c r="F112" s="9"/>
      <c r="G112" s="9"/>
      <c r="H112" s="19" t="s">
        <v>274</v>
      </c>
      <c r="I112" s="18"/>
      <c r="J112" s="18"/>
      <c r="K112" s="79"/>
      <c r="L112" s="22"/>
      <c r="M112" s="11"/>
      <c r="N112" s="11"/>
    </row>
    <row r="113" spans="1:14" ht="15.75">
      <c r="A113" s="13"/>
      <c r="B113" s="45"/>
      <c r="C113" s="288">
        <v>0</v>
      </c>
      <c r="D113" s="149" t="s">
        <v>70</v>
      </c>
      <c r="E113" s="84"/>
      <c r="F113" s="9"/>
      <c r="G113" s="9"/>
      <c r="H113" s="9"/>
      <c r="I113" s="9"/>
      <c r="J113" s="76"/>
      <c r="K113" s="118">
        <f>C113</f>
        <v>0</v>
      </c>
      <c r="L113" s="22"/>
      <c r="M113" s="11"/>
      <c r="N113" s="11"/>
    </row>
    <row r="114" spans="1:14" ht="15.75">
      <c r="A114" s="233"/>
      <c r="B114" s="234"/>
      <c r="C114" s="234"/>
      <c r="D114" s="234"/>
      <c r="E114" s="233"/>
      <c r="F114" s="235"/>
      <c r="G114" s="235" t="s">
        <v>60</v>
      </c>
      <c r="H114" s="234"/>
      <c r="I114" s="237" t="s">
        <v>83</v>
      </c>
      <c r="J114" s="240"/>
      <c r="K114" s="239">
        <f>C113</f>
        <v>0</v>
      </c>
      <c r="L114" s="22"/>
      <c r="M114" s="11"/>
      <c r="N114" s="11"/>
    </row>
    <row r="115" spans="1:14" ht="12.75">
      <c r="A115" s="11"/>
      <c r="B115" s="11"/>
      <c r="C115" s="11"/>
      <c r="D115" s="11"/>
      <c r="E115" s="11"/>
      <c r="F115" s="47"/>
      <c r="G115" s="47"/>
      <c r="H115" s="11"/>
      <c r="I115" s="48"/>
      <c r="J115" s="49"/>
      <c r="K115" s="73"/>
      <c r="L115" s="22"/>
      <c r="M115" s="11"/>
      <c r="N115" s="11"/>
    </row>
    <row r="116" spans="1:14" ht="12.75">
      <c r="A116" s="11"/>
      <c r="B116" s="11"/>
      <c r="C116" s="11"/>
      <c r="D116" s="11"/>
      <c r="E116" s="11"/>
      <c r="F116" s="47"/>
      <c r="G116" s="47"/>
      <c r="H116" s="11"/>
      <c r="I116" s="48"/>
      <c r="J116" s="49"/>
      <c r="K116" s="73"/>
      <c r="L116" s="22"/>
      <c r="M116" s="11"/>
      <c r="N116" s="11"/>
    </row>
    <row r="117" spans="1:14" ht="19.5">
      <c r="A117" s="241" t="s">
        <v>258</v>
      </c>
      <c r="B117" s="256"/>
      <c r="C117" s="257"/>
      <c r="D117" s="242"/>
      <c r="E117" s="258"/>
      <c r="F117" s="242"/>
      <c r="G117" s="242"/>
      <c r="H117" s="242"/>
      <c r="I117" s="242"/>
      <c r="J117" s="242"/>
      <c r="K117" s="259"/>
      <c r="L117" s="22"/>
      <c r="M117" s="11"/>
      <c r="N117" s="11"/>
    </row>
    <row r="118" spans="1:14" ht="15.75">
      <c r="A118" s="92"/>
      <c r="B118" s="21" t="s">
        <v>256</v>
      </c>
      <c r="C118" s="19"/>
      <c r="D118" s="9"/>
      <c r="E118" s="13"/>
      <c r="F118" s="9"/>
      <c r="G118" s="9"/>
      <c r="H118" s="19" t="s">
        <v>274</v>
      </c>
      <c r="I118" s="18"/>
      <c r="J118" s="18"/>
      <c r="K118" s="79"/>
      <c r="L118" s="22"/>
      <c r="M118" s="11"/>
      <c r="N118" s="11"/>
    </row>
    <row r="119" spans="1:14" ht="15.75">
      <c r="A119" s="13"/>
      <c r="B119" s="45"/>
      <c r="C119" s="288">
        <v>0</v>
      </c>
      <c r="D119" s="93" t="s">
        <v>70</v>
      </c>
      <c r="E119" s="13"/>
      <c r="F119" s="9"/>
      <c r="G119" s="9"/>
      <c r="H119" s="9"/>
      <c r="I119" s="9"/>
      <c r="J119" s="76"/>
      <c r="K119" s="118">
        <f>C119</f>
        <v>0</v>
      </c>
      <c r="L119" s="22"/>
      <c r="M119" s="11"/>
      <c r="N119" s="11"/>
    </row>
    <row r="120" spans="1:14" ht="15.75">
      <c r="A120" s="233"/>
      <c r="B120" s="234"/>
      <c r="C120" s="234"/>
      <c r="D120" s="234"/>
      <c r="E120" s="233"/>
      <c r="F120" s="235"/>
      <c r="G120" s="235" t="s">
        <v>60</v>
      </c>
      <c r="H120" s="234"/>
      <c r="I120" s="237" t="s">
        <v>83</v>
      </c>
      <c r="J120" s="240"/>
      <c r="K120" s="239">
        <f>C119</f>
        <v>0</v>
      </c>
      <c r="L120" s="22"/>
      <c r="M120" s="11"/>
      <c r="N120" s="11"/>
    </row>
    <row r="121" spans="1:14" ht="12.75">
      <c r="A121" s="11"/>
      <c r="B121" s="11"/>
      <c r="C121" s="11"/>
      <c r="D121" s="11"/>
      <c r="E121" s="11"/>
      <c r="F121" s="47"/>
      <c r="G121" s="47"/>
      <c r="H121" s="11"/>
      <c r="I121" s="48"/>
      <c r="J121" s="49"/>
      <c r="K121" s="73"/>
      <c r="L121" s="22"/>
      <c r="M121" s="11"/>
      <c r="N121" s="11"/>
    </row>
    <row r="122" spans="1:14" ht="12.75">
      <c r="A122" s="11"/>
      <c r="B122" s="11"/>
      <c r="C122" s="11"/>
      <c r="D122" s="11"/>
      <c r="E122" s="11"/>
      <c r="F122" s="47"/>
      <c r="G122" s="47"/>
      <c r="H122" s="11"/>
      <c r="I122" s="48"/>
      <c r="J122" s="49"/>
      <c r="K122" s="73"/>
      <c r="L122" s="22"/>
      <c r="M122" s="11"/>
      <c r="N122" s="11"/>
    </row>
    <row r="123" spans="1:14" ht="19.5">
      <c r="A123" s="241" t="s">
        <v>259</v>
      </c>
      <c r="B123" s="256"/>
      <c r="C123" s="257"/>
      <c r="D123" s="242"/>
      <c r="E123" s="258"/>
      <c r="F123" s="242"/>
      <c r="G123" s="242"/>
      <c r="H123" s="242"/>
      <c r="I123" s="242"/>
      <c r="J123" s="242"/>
      <c r="K123" s="259"/>
      <c r="L123" s="22"/>
      <c r="M123" s="11"/>
      <c r="N123" s="11"/>
    </row>
    <row r="124" spans="1:14" ht="15.75">
      <c r="A124" s="92"/>
      <c r="B124" s="21" t="s">
        <v>257</v>
      </c>
      <c r="C124" s="19"/>
      <c r="D124" s="9"/>
      <c r="E124" s="13"/>
      <c r="F124" s="9"/>
      <c r="G124" s="9"/>
      <c r="H124" s="19" t="s">
        <v>274</v>
      </c>
      <c r="I124" s="18"/>
      <c r="J124" s="18"/>
      <c r="K124" s="79"/>
      <c r="L124" s="22"/>
      <c r="M124" s="11"/>
      <c r="N124" s="11"/>
    </row>
    <row r="125" spans="1:14" ht="15.75">
      <c r="A125" s="13"/>
      <c r="B125" s="45"/>
      <c r="C125" s="288">
        <v>0</v>
      </c>
      <c r="D125" s="93" t="s">
        <v>70</v>
      </c>
      <c r="E125" s="13"/>
      <c r="F125" s="9"/>
      <c r="G125" s="9"/>
      <c r="H125" s="9"/>
      <c r="I125" s="9"/>
      <c r="J125" s="76"/>
      <c r="K125" s="118">
        <f>C125</f>
        <v>0</v>
      </c>
      <c r="L125" s="22"/>
      <c r="M125" s="11"/>
      <c r="N125" s="11"/>
    </row>
    <row r="126" spans="1:14" ht="15.75">
      <c r="A126" s="233"/>
      <c r="B126" s="234"/>
      <c r="C126" s="234"/>
      <c r="D126" s="234"/>
      <c r="E126" s="233"/>
      <c r="F126" s="235"/>
      <c r="G126" s="235" t="s">
        <v>60</v>
      </c>
      <c r="H126" s="234"/>
      <c r="I126" s="237" t="s">
        <v>83</v>
      </c>
      <c r="J126" s="240"/>
      <c r="K126" s="239">
        <f>C125</f>
        <v>0</v>
      </c>
      <c r="L126" s="22"/>
      <c r="M126" s="11"/>
      <c r="N126" s="11"/>
    </row>
    <row r="127" spans="1:14" ht="12.75">
      <c r="A127" s="11"/>
      <c r="B127" s="11"/>
      <c r="C127" s="11"/>
      <c r="D127" s="11"/>
      <c r="E127" s="11"/>
      <c r="F127" s="47"/>
      <c r="G127" s="47"/>
      <c r="H127" s="11"/>
      <c r="I127" s="48"/>
      <c r="J127" s="49"/>
      <c r="K127" s="73"/>
      <c r="L127" s="22"/>
      <c r="M127" s="11"/>
      <c r="N127" s="11"/>
    </row>
    <row r="128" spans="1:14" ht="12.75">
      <c r="A128" s="11"/>
      <c r="B128" s="11"/>
      <c r="C128" s="11"/>
      <c r="D128" s="11"/>
      <c r="E128" s="11"/>
      <c r="F128" s="47"/>
      <c r="G128" s="47"/>
      <c r="H128" s="11"/>
      <c r="I128" s="48"/>
      <c r="J128" s="49"/>
      <c r="K128" s="73"/>
      <c r="L128" s="22"/>
      <c r="M128" s="11"/>
      <c r="N128" s="11"/>
    </row>
    <row r="129" spans="1:14" ht="15.75">
      <c r="A129" s="241" t="s">
        <v>96</v>
      </c>
      <c r="B129" s="242"/>
      <c r="C129" s="242"/>
      <c r="D129" s="242"/>
      <c r="E129" s="243" t="s">
        <v>37</v>
      </c>
      <c r="F129" s="248"/>
      <c r="G129" s="248"/>
      <c r="H129" s="249"/>
      <c r="I129" s="247" t="s">
        <v>83</v>
      </c>
      <c r="J129" s="249"/>
      <c r="K129" s="250">
        <f>K82+K94+K102+K108</f>
        <v>54.61487573634878</v>
      </c>
      <c r="L129" s="22"/>
      <c r="M129" s="11"/>
      <c r="N129" s="11"/>
    </row>
    <row r="130" spans="1:14" ht="15.75">
      <c r="A130" s="251"/>
      <c r="B130" s="252"/>
      <c r="C130" s="252"/>
      <c r="D130" s="252"/>
      <c r="E130" s="253"/>
      <c r="F130" s="253"/>
      <c r="G130" s="253"/>
      <c r="H130" s="253"/>
      <c r="I130" s="253"/>
      <c r="J130" s="253"/>
      <c r="K130" s="254"/>
      <c r="L130" s="22"/>
      <c r="M130" s="11"/>
      <c r="N130" s="11"/>
    </row>
    <row r="131" spans="1:14" ht="15.75">
      <c r="A131" s="13"/>
      <c r="B131" s="9"/>
      <c r="C131" s="9"/>
      <c r="D131" s="23" t="s">
        <v>59</v>
      </c>
      <c r="E131" s="94">
        <f>E22*C45*C54*C65*C86</f>
        <v>40687.990364447454</v>
      </c>
      <c r="F131" s="9" t="s">
        <v>63</v>
      </c>
      <c r="G131" s="9"/>
      <c r="H131" s="9"/>
      <c r="I131" s="9"/>
      <c r="J131" s="9"/>
      <c r="K131" s="95"/>
      <c r="L131" s="22"/>
      <c r="M131" s="11"/>
      <c r="N131" s="11"/>
    </row>
    <row r="132" spans="1:14" ht="15.75">
      <c r="A132" s="13"/>
      <c r="B132" s="9"/>
      <c r="C132" s="9"/>
      <c r="D132" s="23" t="s">
        <v>69</v>
      </c>
      <c r="E132" s="96">
        <f>E131/E22</f>
        <v>0.5312661630200025</v>
      </c>
      <c r="F132" s="9" t="s">
        <v>329</v>
      </c>
      <c r="G132" s="9"/>
      <c r="H132" s="76"/>
      <c r="I132" s="9"/>
      <c r="J132" s="9"/>
      <c r="K132" s="95"/>
      <c r="L132" s="22"/>
      <c r="M132" s="11"/>
      <c r="N132" s="11"/>
    </row>
    <row r="133" spans="1:14" ht="12.75">
      <c r="A133" s="13"/>
      <c r="B133" s="9"/>
      <c r="C133" s="9"/>
      <c r="D133" s="9"/>
      <c r="E133" s="9"/>
      <c r="F133" s="77"/>
      <c r="G133" s="9"/>
      <c r="H133" s="76"/>
      <c r="I133" s="9"/>
      <c r="J133" s="9"/>
      <c r="K133" s="95"/>
      <c r="L133" s="22"/>
      <c r="M133" s="11"/>
      <c r="N133" s="11"/>
    </row>
    <row r="134" spans="1:14" ht="12.75">
      <c r="A134" s="13"/>
      <c r="B134" s="9"/>
      <c r="C134" s="9"/>
      <c r="D134" s="9"/>
      <c r="E134" s="9"/>
      <c r="F134" s="77"/>
      <c r="G134" s="9"/>
      <c r="H134" s="9"/>
      <c r="I134" s="9"/>
      <c r="J134" s="9"/>
      <c r="K134" s="95"/>
      <c r="L134" s="22"/>
      <c r="M134" s="11"/>
      <c r="N134" s="11"/>
    </row>
    <row r="135" spans="1:14" ht="15.75">
      <c r="A135" s="272"/>
      <c r="B135" s="273"/>
      <c r="C135" s="273"/>
      <c r="D135" s="273"/>
      <c r="E135" s="293" t="s">
        <v>95</v>
      </c>
      <c r="F135" s="294"/>
      <c r="G135" s="295"/>
      <c r="H135" s="295"/>
      <c r="I135" s="293" t="s">
        <v>395</v>
      </c>
      <c r="J135" s="295"/>
      <c r="K135" s="296">
        <f>K41+K50+K60+K73+K94+K102+K108-K114-K120-K126</f>
        <v>90.7256622477615</v>
      </c>
      <c r="L135" s="22"/>
      <c r="M135" s="11"/>
      <c r="N135" s="11"/>
    </row>
    <row r="136" spans="1:14" ht="15.75">
      <c r="A136" s="275"/>
      <c r="B136" s="276"/>
      <c r="C136" s="274"/>
      <c r="D136" s="273"/>
      <c r="E136" s="293" t="s">
        <v>97</v>
      </c>
      <c r="F136" s="295"/>
      <c r="G136" s="295"/>
      <c r="H136" s="295"/>
      <c r="I136" s="293" t="s">
        <v>395</v>
      </c>
      <c r="J136" s="295"/>
      <c r="K136" s="297">
        <f>K82+K94+K102+K108-K114-K120-K126</f>
        <v>54.61487573634878</v>
      </c>
      <c r="L136" s="22"/>
      <c r="M136" s="11"/>
      <c r="N136" s="11"/>
    </row>
    <row r="137" spans="1:14" ht="12.75">
      <c r="A137" s="272"/>
      <c r="B137" s="273"/>
      <c r="C137" s="273"/>
      <c r="D137" s="273"/>
      <c r="E137" s="295"/>
      <c r="F137" s="295"/>
      <c r="G137" s="295"/>
      <c r="H137" s="295"/>
      <c r="I137" s="295"/>
      <c r="J137" s="295"/>
      <c r="K137" s="298"/>
      <c r="L137" s="22"/>
      <c r="M137" s="11"/>
      <c r="N137" s="11"/>
    </row>
    <row r="138" spans="1:14" ht="12.75">
      <c r="A138" s="277"/>
      <c r="B138" s="278"/>
      <c r="C138" s="278"/>
      <c r="D138" s="278"/>
      <c r="E138" s="299" t="s">
        <v>98</v>
      </c>
      <c r="F138" s="270"/>
      <c r="G138" s="270"/>
      <c r="H138" s="270"/>
      <c r="I138" s="270"/>
      <c r="J138" s="270"/>
      <c r="K138" s="271">
        <f>(83.8-K136)/83.8</f>
        <v>0.3482711725972699</v>
      </c>
      <c r="L138" s="22"/>
      <c r="M138" s="11"/>
      <c r="N138" s="11"/>
    </row>
    <row r="139" ht="12.75">
      <c r="L139" s="3"/>
    </row>
    <row r="140" spans="5:12" ht="12.75">
      <c r="E140" s="2"/>
      <c r="F140" s="2"/>
      <c r="G140" s="4"/>
      <c r="H140" s="2"/>
      <c r="I140" s="2"/>
      <c r="J140" s="2"/>
      <c r="K140" s="8"/>
      <c r="L140" s="3"/>
    </row>
    <row r="141" spans="6:13" ht="12.75">
      <c r="F141" s="2"/>
      <c r="G141" s="2"/>
      <c r="H141" s="74"/>
      <c r="I141" s="2"/>
      <c r="J141" s="2"/>
      <c r="K141" s="75"/>
      <c r="L141" s="36"/>
      <c r="M141" s="3"/>
    </row>
    <row r="142" spans="6:13" ht="12.75">
      <c r="F142" s="2"/>
      <c r="G142" s="2"/>
      <c r="H142" s="74"/>
      <c r="I142" s="2"/>
      <c r="J142" s="2"/>
      <c r="K142" s="75"/>
      <c r="L142" s="36"/>
      <c r="M142" s="3"/>
    </row>
    <row r="143" spans="6:13" ht="15.75">
      <c r="F143" s="37"/>
      <c r="G143" s="2"/>
      <c r="H143" s="2"/>
      <c r="I143" s="2"/>
      <c r="J143" s="2"/>
      <c r="K143" s="2"/>
      <c r="L143" s="2"/>
      <c r="M143" s="3"/>
    </row>
    <row r="144" spans="6:13" ht="12.75">
      <c r="F144" s="2"/>
      <c r="G144" s="74"/>
      <c r="H144" s="2"/>
      <c r="I144" s="2"/>
      <c r="J144" s="2"/>
      <c r="K144" s="2"/>
      <c r="L144" s="2"/>
      <c r="M144" s="2"/>
    </row>
    <row r="145" spans="6:13" ht="12.75">
      <c r="F145" s="74"/>
      <c r="G145" s="2"/>
      <c r="H145" s="25"/>
      <c r="I145" s="2"/>
      <c r="J145" s="2"/>
      <c r="K145" s="2"/>
      <c r="L145" s="2"/>
      <c r="M145" s="2"/>
    </row>
    <row r="146" spans="6:13" ht="12.75">
      <c r="F146" s="74"/>
      <c r="G146" s="2"/>
      <c r="H146" s="25"/>
      <c r="I146" s="2"/>
      <c r="J146" s="2"/>
      <c r="K146" s="2"/>
      <c r="L146" s="2"/>
      <c r="M146" s="2"/>
    </row>
    <row r="147" spans="6:13" ht="12.75">
      <c r="F147" s="2"/>
      <c r="G147" s="36"/>
      <c r="H147" s="2"/>
      <c r="I147" s="2"/>
      <c r="J147" s="2"/>
      <c r="K147" s="2"/>
      <c r="L147" s="2"/>
      <c r="M147" s="2"/>
    </row>
    <row r="148" spans="6:13" ht="12.75">
      <c r="F148" s="2"/>
      <c r="G148" s="2"/>
      <c r="H148" s="2"/>
      <c r="I148" s="2"/>
      <c r="J148" s="2"/>
      <c r="K148" s="2"/>
      <c r="L148" s="2"/>
      <c r="M148" s="2"/>
    </row>
    <row r="149" spans="6:13" ht="12.75">
      <c r="F149" s="2"/>
      <c r="G149" s="2"/>
      <c r="H149" s="2"/>
      <c r="I149" s="2"/>
      <c r="J149" s="2"/>
      <c r="K149" s="2"/>
      <c r="L149" s="2"/>
      <c r="M149" s="2"/>
    </row>
    <row r="150" spans="6:13" ht="12.75">
      <c r="F150" s="2"/>
      <c r="G150" s="2"/>
      <c r="H150" s="2"/>
      <c r="I150" s="2"/>
      <c r="J150" s="2"/>
      <c r="K150" s="2"/>
      <c r="L150" s="2"/>
      <c r="M150" s="2"/>
    </row>
    <row r="151" spans="6:13" ht="12.75">
      <c r="F151" s="2"/>
      <c r="G151" s="2"/>
      <c r="H151" s="2"/>
      <c r="I151" s="2"/>
      <c r="J151" s="2"/>
      <c r="K151" s="2"/>
      <c r="L151" s="2"/>
      <c r="M151" s="2"/>
    </row>
    <row r="152" spans="6:13" ht="12.75">
      <c r="F152" s="2"/>
      <c r="G152" s="2"/>
      <c r="H152" s="2"/>
      <c r="I152" s="2"/>
      <c r="J152" s="2"/>
      <c r="K152" s="2"/>
      <c r="L152" s="2"/>
      <c r="M152" s="2"/>
    </row>
    <row r="153" spans="6:13" ht="12.75">
      <c r="F153" s="2"/>
      <c r="G153" s="2"/>
      <c r="H153" s="2"/>
      <c r="I153" s="2"/>
      <c r="J153" s="2"/>
      <c r="K153" s="2"/>
      <c r="L153" s="2"/>
      <c r="M153" s="2"/>
    </row>
    <row r="154" spans="6:13" ht="12.75">
      <c r="F154" s="2"/>
      <c r="G154" s="2"/>
      <c r="H154" s="2"/>
      <c r="I154" s="2"/>
      <c r="J154" s="2"/>
      <c r="K154" s="2"/>
      <c r="L154" s="2"/>
      <c r="M154" s="2"/>
    </row>
    <row r="155" spans="6:13" ht="12.75">
      <c r="F155" s="2"/>
      <c r="G155" s="2"/>
      <c r="H155" s="2"/>
      <c r="I155" s="2"/>
      <c r="J155" s="2"/>
      <c r="K155" s="2"/>
      <c r="L155" s="2"/>
      <c r="M155" s="2"/>
    </row>
    <row r="156" spans="6:13" ht="12.75">
      <c r="F156" s="2"/>
      <c r="G156" s="2"/>
      <c r="H156" s="2"/>
      <c r="I156" s="2"/>
      <c r="J156" s="2"/>
      <c r="K156" s="2"/>
      <c r="L156" s="2"/>
      <c r="M156" s="2"/>
    </row>
    <row r="157" spans="6:13" ht="12.75">
      <c r="F157" s="2"/>
      <c r="G157" s="2"/>
      <c r="H157" s="2"/>
      <c r="I157" s="2"/>
      <c r="J157" s="2"/>
      <c r="K157" s="2"/>
      <c r="L157" s="2"/>
      <c r="M157" s="2"/>
    </row>
    <row r="158" spans="6:13" ht="12.75">
      <c r="F158" s="2"/>
      <c r="G158" s="2"/>
      <c r="H158" s="2"/>
      <c r="I158" s="2"/>
      <c r="J158" s="2"/>
      <c r="K158" s="2"/>
      <c r="L158" s="2"/>
      <c r="M158" s="2"/>
    </row>
    <row r="159" spans="6:13" ht="12.75">
      <c r="F159" s="2"/>
      <c r="G159" s="2"/>
      <c r="H159" s="2"/>
      <c r="I159" s="2"/>
      <c r="J159" s="2"/>
      <c r="K159" s="2"/>
      <c r="L159" s="2"/>
      <c r="M159" s="2"/>
    </row>
  </sheetData>
  <sheetProtection/>
  <mergeCells count="2">
    <mergeCell ref="G11:G12"/>
    <mergeCell ref="N11:N12"/>
  </mergeCells>
  <conditionalFormatting sqref="N9:N18">
    <cfRule type="cellIs" priority="1" dxfId="4" operator="notBetween" stopIfTrue="1">
      <formula>-0.05</formula>
      <formula>0.05</formula>
    </cfRule>
  </conditionalFormatting>
  <printOptions/>
  <pageMargins left="0.75" right="0.75" top="1" bottom="1" header="0.5" footer="0.5"/>
  <pageSetup fitToHeight="1" fitToWidth="1" horizontalDpi="2400" verticalDpi="2400" orientation="portrait" paperSize="9" scale="34" r:id="rId4"/>
  <headerFooter alignWithMargins="0">
    <oddFooter>&amp;L&amp;8&amp;F&amp;C&amp;8&amp;A&amp;R&amp;8page&amp;P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Blad9">
    <pageSetUpPr fitToPage="1"/>
  </sheetPr>
  <dimension ref="A2:W149"/>
  <sheetViews>
    <sheetView zoomScale="80" zoomScaleNormal="80" workbookViewId="0" topLeftCell="A1">
      <pane ySplit="18" topLeftCell="BM103" activePane="bottomLeft" state="frozen"/>
      <selection pane="topLeft" activeCell="F31" sqref="F31"/>
      <selection pane="bottomLeft" activeCell="A76" sqref="A76"/>
    </sheetView>
  </sheetViews>
  <sheetFormatPr defaultColWidth="8.8515625" defaultRowHeight="12.75"/>
  <cols>
    <col min="1" max="1" width="22.57421875" style="0" customWidth="1"/>
    <col min="2" max="2" width="25.8515625" style="0" customWidth="1"/>
    <col min="3" max="3" width="9.7109375" style="0" customWidth="1"/>
    <col min="4" max="4" width="20.140625" style="0" customWidth="1"/>
    <col min="5" max="5" width="14.8515625" style="0" customWidth="1"/>
    <col min="6" max="6" width="11.421875" style="0" customWidth="1"/>
    <col min="7" max="7" width="19.57421875" style="0" customWidth="1"/>
    <col min="8" max="11" width="9.140625" style="0" customWidth="1"/>
    <col min="12" max="12" width="2.57421875" style="0" customWidth="1"/>
    <col min="13" max="13" width="17.8515625" style="0" customWidth="1"/>
    <col min="14" max="14" width="13.7109375" style="0" customWidth="1"/>
    <col min="15" max="22" width="9.140625" style="0" customWidth="1"/>
    <col min="23" max="16384" width="8.8515625" style="2" customWidth="1"/>
  </cols>
  <sheetData>
    <row r="1" ht="102" customHeight="1"/>
    <row r="2" spans="1:14" ht="27.75" customHeight="1">
      <c r="A2" s="636" t="s">
        <v>503</v>
      </c>
      <c r="B2" s="174"/>
      <c r="C2" s="175"/>
      <c r="D2" s="175"/>
      <c r="E2" s="175"/>
      <c r="F2" s="176"/>
      <c r="G2" s="177"/>
      <c r="H2" s="178"/>
      <c r="I2" s="179"/>
      <c r="J2" s="180"/>
      <c r="K2" s="181"/>
      <c r="L2" s="178"/>
      <c r="M2" s="178"/>
      <c r="N2" s="182" t="str">
        <f>About!D2</f>
        <v>Version 1 - Public</v>
      </c>
    </row>
    <row r="3" spans="1:22" ht="27.75" customHeight="1">
      <c r="A3" s="119" t="s">
        <v>85</v>
      </c>
      <c r="B3" s="121"/>
      <c r="C3" s="122"/>
      <c r="D3" s="122"/>
      <c r="E3" s="121"/>
      <c r="F3" s="121"/>
      <c r="G3" s="46"/>
      <c r="H3" s="47"/>
      <c r="I3" s="123"/>
      <c r="J3" s="56"/>
      <c r="K3" s="123"/>
      <c r="L3" s="123"/>
      <c r="M3" s="22"/>
      <c r="N3" s="56"/>
      <c r="O3" s="2"/>
      <c r="P3" s="2"/>
      <c r="Q3" s="2"/>
      <c r="R3" s="2"/>
      <c r="S3" s="2"/>
      <c r="T3" s="2"/>
      <c r="U3" s="2"/>
      <c r="V3" s="2"/>
    </row>
    <row r="4" spans="1:22" ht="16.5" customHeight="1">
      <c r="A4" s="192" t="s">
        <v>368</v>
      </c>
      <c r="B4" s="183" t="s">
        <v>367</v>
      </c>
      <c r="C4" s="183" t="s">
        <v>92</v>
      </c>
      <c r="D4" s="183" t="s">
        <v>365</v>
      </c>
      <c r="E4" s="184" t="s">
        <v>82</v>
      </c>
      <c r="F4" s="61"/>
      <c r="G4" s="187" t="s">
        <v>376</v>
      </c>
      <c r="H4" s="60"/>
      <c r="I4" s="189" t="s">
        <v>104</v>
      </c>
      <c r="J4" s="190"/>
      <c r="K4" s="191"/>
      <c r="L4" s="11"/>
      <c r="M4" s="189" t="s">
        <v>428</v>
      </c>
      <c r="N4" s="624"/>
      <c r="O4" s="2"/>
      <c r="P4" s="2"/>
      <c r="Q4" s="2"/>
      <c r="R4" s="2"/>
      <c r="S4" s="2"/>
      <c r="T4" s="2"/>
      <c r="U4" s="2"/>
      <c r="V4" s="2"/>
    </row>
    <row r="5" spans="1:22" ht="16.5" customHeight="1">
      <c r="A5" s="477" t="s">
        <v>370</v>
      </c>
      <c r="B5" s="185" t="s">
        <v>366</v>
      </c>
      <c r="C5" s="185" t="s">
        <v>99</v>
      </c>
      <c r="D5" s="185" t="s">
        <v>366</v>
      </c>
      <c r="E5" s="186"/>
      <c r="F5" s="62"/>
      <c r="G5" s="188" t="s">
        <v>373</v>
      </c>
      <c r="H5" s="11"/>
      <c r="I5" s="199" t="str">
        <f>A53</f>
        <v>Ethanol plant</v>
      </c>
      <c r="J5" s="200"/>
      <c r="K5" s="201"/>
      <c r="L5" s="11"/>
      <c r="M5" s="199" t="s">
        <v>429</v>
      </c>
      <c r="N5" s="201"/>
      <c r="O5" s="2"/>
      <c r="P5" s="2"/>
      <c r="Q5" s="2"/>
      <c r="R5" s="2"/>
      <c r="S5" s="2"/>
      <c r="T5" s="2"/>
      <c r="U5" s="2"/>
      <c r="V5" s="2"/>
    </row>
    <row r="6" spans="1:22" ht="16.5" customHeight="1">
      <c r="A6" s="193" t="s">
        <v>260</v>
      </c>
      <c r="B6" s="194"/>
      <c r="C6" s="195"/>
      <c r="D6" s="196"/>
      <c r="E6" s="197">
        <f>D7</f>
        <v>11.464532307080274</v>
      </c>
      <c r="F6" s="63"/>
      <c r="G6" s="198">
        <v>12</v>
      </c>
      <c r="H6" s="11"/>
      <c r="I6" s="150">
        <f>F69/F71</f>
        <v>0.713</v>
      </c>
      <c r="J6" s="151" t="s">
        <v>65</v>
      </c>
      <c r="K6" s="152"/>
      <c r="L6" s="11"/>
      <c r="M6" s="623">
        <v>83.8</v>
      </c>
      <c r="N6" s="625" t="s">
        <v>431</v>
      </c>
      <c r="O6" s="2"/>
      <c r="P6" s="2"/>
      <c r="Q6" s="2"/>
      <c r="R6" s="2"/>
      <c r="S6" s="2"/>
      <c r="T6" s="2"/>
      <c r="U6" s="2"/>
      <c r="V6" s="2"/>
    </row>
    <row r="7" spans="1:23" ht="12" customHeight="1">
      <c r="A7" s="199" t="str">
        <f>A19</f>
        <v>Cultivation of sugarbeet</v>
      </c>
      <c r="B7" s="99">
        <f>K40</f>
        <v>16.07928794821918</v>
      </c>
      <c r="C7" s="100">
        <f>I6</f>
        <v>0.713</v>
      </c>
      <c r="D7" s="21">
        <f>C7*B7</f>
        <v>11.464532307080274</v>
      </c>
      <c r="E7" s="145"/>
      <c r="F7" s="64"/>
      <c r="G7" s="91">
        <v>11.54</v>
      </c>
      <c r="H7" s="11"/>
      <c r="I7" s="153">
        <f>1-I6</f>
        <v>0.28700000000000003</v>
      </c>
      <c r="J7" s="154" t="s">
        <v>393</v>
      </c>
      <c r="K7" s="155"/>
      <c r="L7" s="11"/>
      <c r="M7" s="199" t="s">
        <v>430</v>
      </c>
      <c r="N7" s="201"/>
      <c r="O7" s="159"/>
      <c r="P7" s="159"/>
      <c r="Q7" s="3"/>
      <c r="R7" s="3"/>
      <c r="S7" s="3"/>
      <c r="T7" s="3"/>
      <c r="U7" s="3"/>
      <c r="V7" s="3"/>
      <c r="W7" s="3"/>
    </row>
    <row r="8" spans="1:23" ht="16.5" customHeight="1">
      <c r="A8" s="193" t="s">
        <v>261</v>
      </c>
      <c r="B8" s="204"/>
      <c r="C8" s="204"/>
      <c r="D8" s="205"/>
      <c r="E8" s="197">
        <f>D9</f>
        <v>26.25536938847933</v>
      </c>
      <c r="F8" s="63"/>
      <c r="G8" s="198">
        <v>26</v>
      </c>
      <c r="H8" s="11"/>
      <c r="I8" s="11"/>
      <c r="J8" s="11"/>
      <c r="K8" s="11"/>
      <c r="L8" s="11"/>
      <c r="M8" s="629">
        <f>(M6-E16)/M6</f>
        <v>0.5220688472834485</v>
      </c>
      <c r="N8" s="626"/>
      <c r="O8" s="161"/>
      <c r="P8" s="3"/>
      <c r="Q8" s="3"/>
      <c r="R8" s="3"/>
      <c r="S8" s="3"/>
      <c r="T8" s="3"/>
      <c r="U8" s="3"/>
      <c r="V8" s="3"/>
      <c r="W8" s="3"/>
    </row>
    <row r="9" spans="1:23" ht="12" customHeight="1">
      <c r="A9" s="199" t="str">
        <f>A53</f>
        <v>Ethanol plant</v>
      </c>
      <c r="B9" s="99">
        <f>K63</f>
        <v>36.82379998384198</v>
      </c>
      <c r="C9" s="100">
        <f>I6</f>
        <v>0.713</v>
      </c>
      <c r="D9" s="21">
        <f>C9*B9</f>
        <v>26.25536938847933</v>
      </c>
      <c r="E9" s="145"/>
      <c r="F9" s="64"/>
      <c r="G9" s="91">
        <f>1.4*18.87</f>
        <v>26.418</v>
      </c>
      <c r="H9" s="11"/>
      <c r="I9" s="11"/>
      <c r="J9" s="11"/>
      <c r="K9" s="11"/>
      <c r="L9" s="11"/>
      <c r="M9" s="11"/>
      <c r="N9" s="612"/>
      <c r="O9" s="162"/>
      <c r="P9" s="3"/>
      <c r="Q9" s="3"/>
      <c r="R9" s="3"/>
      <c r="S9" s="3"/>
      <c r="T9" s="3"/>
      <c r="U9" s="3"/>
      <c r="V9" s="3"/>
      <c r="W9" s="3"/>
    </row>
    <row r="10" spans="1:23" ht="16.5" customHeight="1" thickBot="1">
      <c r="A10" s="193" t="s">
        <v>262</v>
      </c>
      <c r="B10" s="204"/>
      <c r="C10" s="204"/>
      <c r="D10" s="205"/>
      <c r="E10" s="197">
        <f>D11+D12+D13</f>
        <v>2.3307289020874102</v>
      </c>
      <c r="F10" s="63"/>
      <c r="G10" s="198">
        <v>2</v>
      </c>
      <c r="H10" s="11"/>
      <c r="I10" s="11"/>
      <c r="J10" s="11"/>
      <c r="K10" s="11"/>
      <c r="L10" s="11"/>
      <c r="M10" s="11"/>
      <c r="N10" s="55"/>
      <c r="O10" s="163"/>
      <c r="P10" s="3"/>
      <c r="Q10" s="3"/>
      <c r="R10" s="3"/>
      <c r="S10" s="3"/>
      <c r="T10" s="3"/>
      <c r="U10" s="3"/>
      <c r="V10" s="160"/>
      <c r="W10" s="3"/>
    </row>
    <row r="11" spans="1:23" ht="12" customHeight="1">
      <c r="A11" s="199" t="str">
        <f>A43</f>
        <v>Transport of sugarbeet</v>
      </c>
      <c r="B11" s="99">
        <f>K50</f>
        <v>1.1124348036809817</v>
      </c>
      <c r="C11" s="100">
        <f>I6</f>
        <v>0.713</v>
      </c>
      <c r="D11" s="21">
        <f>C11*B11</f>
        <v>0.7931660150245399</v>
      </c>
      <c r="E11" s="101"/>
      <c r="F11" s="64"/>
      <c r="G11" s="91">
        <f>0.84</f>
        <v>0.84</v>
      </c>
      <c r="H11" s="11"/>
      <c r="I11" s="137" t="s">
        <v>276</v>
      </c>
      <c r="J11" s="138"/>
      <c r="K11" s="138"/>
      <c r="L11" s="138"/>
      <c r="M11" s="615"/>
      <c r="N11" s="613"/>
      <c r="O11" s="162"/>
      <c r="P11" s="166"/>
      <c r="Q11" s="166"/>
      <c r="R11" s="3"/>
      <c r="S11" s="3"/>
      <c r="T11" s="3"/>
      <c r="U11" s="3"/>
      <c r="V11" s="3"/>
      <c r="W11" s="3"/>
    </row>
    <row r="12" spans="1:23" ht="12" customHeight="1">
      <c r="A12" s="199" t="str">
        <f>A75</f>
        <v>Transport of ethanol to and from depot</v>
      </c>
      <c r="B12" s="99">
        <f>K84</f>
        <v>1.0983179259517593</v>
      </c>
      <c r="C12" s="102">
        <v>1</v>
      </c>
      <c r="D12" s="21">
        <f>C12*B12</f>
        <v>1.0983179259517593</v>
      </c>
      <c r="E12" s="35"/>
      <c r="F12" s="66"/>
      <c r="G12" s="91">
        <f>1.1</f>
        <v>1.1</v>
      </c>
      <c r="H12" s="11"/>
      <c r="I12" s="139"/>
      <c r="J12" s="97"/>
      <c r="K12" s="97"/>
      <c r="L12" s="97"/>
      <c r="M12" s="616"/>
      <c r="N12" s="612"/>
      <c r="O12" s="163"/>
      <c r="P12" s="3"/>
      <c r="Q12" s="3"/>
      <c r="R12" s="3"/>
      <c r="S12" s="3"/>
      <c r="T12" s="3"/>
      <c r="U12" s="3"/>
      <c r="V12" s="3"/>
      <c r="W12" s="3"/>
    </row>
    <row r="13" spans="1:23" ht="12" customHeight="1">
      <c r="A13" s="199" t="str">
        <f>A87</f>
        <v>Filling station</v>
      </c>
      <c r="B13" s="99">
        <f>K92</f>
        <v>0.43924496111111105</v>
      </c>
      <c r="C13" s="102">
        <v>1</v>
      </c>
      <c r="D13" s="21">
        <f>C13*B13</f>
        <v>0.43924496111111105</v>
      </c>
      <c r="E13" s="35"/>
      <c r="F13" s="66"/>
      <c r="G13" s="91">
        <f>0.44</f>
        <v>0.44</v>
      </c>
      <c r="H13" s="11"/>
      <c r="I13" s="139"/>
      <c r="J13" s="97"/>
      <c r="K13" s="97"/>
      <c r="L13" s="140"/>
      <c r="M13" s="617"/>
      <c r="N13" s="612"/>
      <c r="O13" s="163"/>
      <c r="P13" s="3"/>
      <c r="Q13" s="3"/>
      <c r="R13" s="3"/>
      <c r="S13" s="3"/>
      <c r="T13" s="3"/>
      <c r="U13" s="3"/>
      <c r="V13" s="3"/>
      <c r="W13" s="3"/>
    </row>
    <row r="14" spans="1:23" ht="17.25" customHeight="1">
      <c r="A14" s="206" t="s">
        <v>282</v>
      </c>
      <c r="B14" s="207">
        <f>K98</f>
        <v>0</v>
      </c>
      <c r="C14" s="208">
        <f>I6</f>
        <v>0.713</v>
      </c>
      <c r="D14" s="207">
        <f>C14*B14</f>
        <v>0</v>
      </c>
      <c r="E14" s="197">
        <f>D14</f>
        <v>0</v>
      </c>
      <c r="F14" s="67"/>
      <c r="G14" s="210">
        <v>0</v>
      </c>
      <c r="H14" s="11"/>
      <c r="I14" s="139"/>
      <c r="J14" s="97"/>
      <c r="K14" s="97"/>
      <c r="L14" s="98"/>
      <c r="M14" s="618"/>
      <c r="N14" s="614"/>
      <c r="O14" s="163"/>
      <c r="P14" s="3"/>
      <c r="Q14" s="3"/>
      <c r="R14" s="3"/>
      <c r="S14" s="3"/>
      <c r="T14" s="3"/>
      <c r="U14" s="3"/>
      <c r="V14" s="3"/>
      <c r="W14" s="3"/>
    </row>
    <row r="15" spans="1:23" ht="16.5" customHeight="1">
      <c r="A15" s="206" t="s">
        <v>267</v>
      </c>
      <c r="B15" s="207">
        <f>K104+K110+K116</f>
        <v>0</v>
      </c>
      <c r="C15" s="209">
        <v>1</v>
      </c>
      <c r="D15" s="207">
        <f>C15*B15</f>
        <v>0</v>
      </c>
      <c r="E15" s="197">
        <f>D15</f>
        <v>0</v>
      </c>
      <c r="F15" s="67"/>
      <c r="G15" s="210">
        <v>0</v>
      </c>
      <c r="H15" s="11"/>
      <c r="I15" s="139"/>
      <c r="J15" s="97"/>
      <c r="K15" s="97"/>
      <c r="L15" s="98"/>
      <c r="M15" s="618"/>
      <c r="N15" s="614"/>
      <c r="O15" s="167"/>
      <c r="P15" s="167"/>
      <c r="Q15" s="167"/>
      <c r="R15" s="167"/>
      <c r="S15" s="167"/>
      <c r="T15" s="167"/>
      <c r="U15" s="168"/>
      <c r="V15" s="169"/>
      <c r="W15" s="3"/>
    </row>
    <row r="16" spans="1:14" s="226" customFormat="1" ht="16.5" customHeight="1" thickBot="1">
      <c r="A16" s="212" t="s">
        <v>84</v>
      </c>
      <c r="B16" s="213">
        <f>SUM(B7:B13)+B15</f>
        <v>55.55308562280501</v>
      </c>
      <c r="C16" s="214"/>
      <c r="D16" s="214"/>
      <c r="E16" s="215">
        <f>SUM(E6:E15)</f>
        <v>40.050630597647014</v>
      </c>
      <c r="F16" s="224"/>
      <c r="G16" s="216">
        <v>40</v>
      </c>
      <c r="H16" s="225"/>
      <c r="I16" s="619" t="s">
        <v>3</v>
      </c>
      <c r="J16" s="620"/>
      <c r="K16" s="620"/>
      <c r="L16" s="621"/>
      <c r="M16" s="622"/>
      <c r="N16" s="300"/>
    </row>
    <row r="17" spans="1:23" ht="16.5" customHeight="1">
      <c r="A17" s="218"/>
      <c r="B17" s="219"/>
      <c r="C17" s="220"/>
      <c r="D17" s="220"/>
      <c r="E17" s="219"/>
      <c r="F17" s="68"/>
      <c r="G17" s="222"/>
      <c r="H17" s="11"/>
      <c r="I17" s="223"/>
      <c r="J17" s="22"/>
      <c r="K17" s="22"/>
      <c r="L17" s="56"/>
      <c r="M17" s="56"/>
      <c r="N17" s="300"/>
      <c r="O17" s="3"/>
      <c r="P17" s="3"/>
      <c r="Q17" s="3"/>
      <c r="R17" s="3"/>
      <c r="S17" s="3"/>
      <c r="T17" s="3"/>
      <c r="U17" s="3"/>
      <c r="V17" s="3"/>
      <c r="W17" s="3"/>
    </row>
    <row r="18" spans="1:14" ht="22.5" customHeight="1">
      <c r="A18" s="120" t="s">
        <v>86</v>
      </c>
      <c r="B18" s="22"/>
      <c r="C18" s="54"/>
      <c r="D18" s="54"/>
      <c r="E18" s="54"/>
      <c r="F18" s="22"/>
      <c r="G18" s="58"/>
      <c r="H18" s="58"/>
      <c r="I18" s="57"/>
      <c r="J18" s="135"/>
      <c r="K18" s="135"/>
      <c r="L18" s="136"/>
      <c r="M18" s="136"/>
      <c r="N18" s="136"/>
    </row>
    <row r="19" spans="1:14" ht="15.75">
      <c r="A19" s="251" t="s">
        <v>380</v>
      </c>
      <c r="B19" s="228"/>
      <c r="C19" s="228"/>
      <c r="D19" s="228"/>
      <c r="E19" s="227" t="s">
        <v>37</v>
      </c>
      <c r="F19" s="229"/>
      <c r="G19" s="228"/>
      <c r="H19" s="230" t="s">
        <v>57</v>
      </c>
      <c r="I19" s="229"/>
      <c r="J19" s="229"/>
      <c r="K19" s="231"/>
      <c r="L19" s="134"/>
      <c r="M19" s="232" t="s">
        <v>252</v>
      </c>
      <c r="N19" s="232"/>
    </row>
    <row r="20" spans="1:14" ht="15.75">
      <c r="A20" s="27"/>
      <c r="B20" s="28" t="s">
        <v>49</v>
      </c>
      <c r="C20" s="29"/>
      <c r="D20" s="29"/>
      <c r="E20" s="103" t="s">
        <v>49</v>
      </c>
      <c r="F20" s="41"/>
      <c r="G20" s="40"/>
      <c r="H20" s="19" t="s">
        <v>274</v>
      </c>
      <c r="I20" s="41"/>
      <c r="J20" s="41"/>
      <c r="K20" s="42"/>
      <c r="L20" s="54"/>
      <c r="M20" s="127" t="s">
        <v>387</v>
      </c>
      <c r="N20" s="148" t="s">
        <v>275</v>
      </c>
    </row>
    <row r="21" spans="1:14" ht="15.75">
      <c r="A21" s="12"/>
      <c r="B21" s="9" t="s">
        <v>133</v>
      </c>
      <c r="C21" s="301">
        <v>68860.1034115139</v>
      </c>
      <c r="D21" s="30" t="s">
        <v>52</v>
      </c>
      <c r="E21" s="104">
        <f>C21*(1-C22)*VLOOKUP($B21,'Standard values'!$C$8:$R$131,13,FALSE)</f>
        <v>280604.92140191916</v>
      </c>
      <c r="F21" s="147" t="s">
        <v>388</v>
      </c>
      <c r="G21" s="39"/>
      <c r="H21" s="43" t="s">
        <v>88</v>
      </c>
      <c r="I21" s="43" t="s">
        <v>89</v>
      </c>
      <c r="J21" s="43" t="s">
        <v>90</v>
      </c>
      <c r="K21" s="44" t="s">
        <v>91</v>
      </c>
      <c r="L21" s="22"/>
      <c r="M21" s="44" t="s">
        <v>91</v>
      </c>
      <c r="N21" s="44" t="s">
        <v>268</v>
      </c>
    </row>
    <row r="22" spans="1:18" ht="15.75">
      <c r="A22" s="13"/>
      <c r="B22" s="9" t="s">
        <v>46</v>
      </c>
      <c r="C22" s="280">
        <v>0.75</v>
      </c>
      <c r="D22" s="30"/>
      <c r="E22" s="124">
        <v>1</v>
      </c>
      <c r="F22" s="85" t="s">
        <v>379</v>
      </c>
      <c r="G22" s="9"/>
      <c r="H22" s="31"/>
      <c r="I22" s="32"/>
      <c r="J22" s="32"/>
      <c r="K22" s="33"/>
      <c r="L22" s="22"/>
      <c r="M22" s="81"/>
      <c r="N22" s="81"/>
      <c r="P22" s="2"/>
      <c r="Q22" s="2"/>
      <c r="R22" s="2"/>
    </row>
    <row r="23" spans="1:18" ht="15.75">
      <c r="A23" s="13"/>
      <c r="B23" s="9"/>
      <c r="C23" s="14"/>
      <c r="D23" s="30"/>
      <c r="E23" s="126">
        <f>+C21/E121</f>
        <v>0.4514110429447853</v>
      </c>
      <c r="F23" s="85" t="s">
        <v>389</v>
      </c>
      <c r="G23" s="9"/>
      <c r="H23" s="23"/>
      <c r="I23" s="23"/>
      <c r="J23" s="23"/>
      <c r="K23" s="34"/>
      <c r="L23" s="22"/>
      <c r="M23" s="81"/>
      <c r="N23" s="81"/>
      <c r="P23" s="2"/>
      <c r="Q23" s="2"/>
      <c r="R23" s="2"/>
    </row>
    <row r="24" spans="1:18" ht="12.75">
      <c r="A24" s="13"/>
      <c r="B24" s="10" t="s">
        <v>50</v>
      </c>
      <c r="C24" s="14"/>
      <c r="D24" s="30"/>
      <c r="E24" s="13"/>
      <c r="F24" s="9"/>
      <c r="G24" s="9"/>
      <c r="H24" s="23"/>
      <c r="I24" s="23"/>
      <c r="J24" s="23"/>
      <c r="K24" s="34"/>
      <c r="L24" s="22"/>
      <c r="M24" s="81"/>
      <c r="N24" s="81"/>
      <c r="P24" s="2"/>
      <c r="Q24" s="2"/>
      <c r="R24" s="2"/>
    </row>
    <row r="25" spans="1:14" ht="14.25">
      <c r="A25" s="13"/>
      <c r="B25" s="9" t="s">
        <v>33</v>
      </c>
      <c r="C25" s="302">
        <v>6331</v>
      </c>
      <c r="D25" s="30" t="s">
        <v>53</v>
      </c>
      <c r="E25" s="38"/>
      <c r="F25" s="9"/>
      <c r="G25" s="9"/>
      <c r="H25" s="32">
        <f>$C25*VLOOKUP($B25,'Standard values'!$C$8:$R$131,6,FALSE)/$E$121</f>
        <v>3.637254458048375</v>
      </c>
      <c r="I25" s="32">
        <f>$C25*VLOOKUP($B25,'Standard values'!$C$8:$R$131,7,FALSE)/$E$121</f>
        <v>0</v>
      </c>
      <c r="J25" s="32">
        <f>$C25*VLOOKUP($B25,'Standard values'!$C$8:$R$131,8,FALSE)/$E$121</f>
        <v>0</v>
      </c>
      <c r="K25" s="33">
        <f>H25*'Standard values'!$G$9+I25*'Standard values'!$G$10+J25*'Standard values'!$G$11</f>
        <v>3.637254458048375</v>
      </c>
      <c r="L25" s="22"/>
      <c r="M25" s="131">
        <f>+K25/E$23</f>
        <v>8.057522107391753</v>
      </c>
      <c r="N25" s="132">
        <f>K25*$E$121/1000</f>
        <v>554.8418055555555</v>
      </c>
    </row>
    <row r="26" spans="1:14" ht="12.75">
      <c r="A26" s="13"/>
      <c r="B26" s="9"/>
      <c r="C26" s="14"/>
      <c r="D26" s="30"/>
      <c r="E26" s="38"/>
      <c r="F26" s="9"/>
      <c r="G26" s="9"/>
      <c r="H26" s="32"/>
      <c r="I26" s="32"/>
      <c r="J26" s="32"/>
      <c r="K26" s="33"/>
      <c r="L26" s="22"/>
      <c r="M26" s="131"/>
      <c r="N26" s="132"/>
    </row>
    <row r="27" spans="1:14" ht="12.75">
      <c r="A27" s="13"/>
      <c r="B27" s="10" t="s">
        <v>80</v>
      </c>
      <c r="C27" s="14"/>
      <c r="D27" s="30"/>
      <c r="E27" s="38"/>
      <c r="F27" s="9"/>
      <c r="G27" s="9"/>
      <c r="H27" s="32"/>
      <c r="I27" s="32"/>
      <c r="J27" s="32"/>
      <c r="K27" s="33"/>
      <c r="L27" s="22"/>
      <c r="M27" s="131"/>
      <c r="N27" s="132"/>
    </row>
    <row r="28" spans="1:14" ht="14.25">
      <c r="A28" s="13"/>
      <c r="B28" s="9" t="s">
        <v>115</v>
      </c>
      <c r="C28" s="303">
        <v>119.65135699975498</v>
      </c>
      <c r="D28" s="30" t="s">
        <v>54</v>
      </c>
      <c r="E28" s="38"/>
      <c r="F28" s="9"/>
      <c r="G28" s="9"/>
      <c r="H28" s="32">
        <f>$C28*VLOOKUP($B28,'Standard values'!$C$8:$R$131,2,FALSE)/$E$121</f>
        <v>2.217423767410088</v>
      </c>
      <c r="I28" s="32">
        <f>$C28*VLOOKUP($B28,'Standard values'!$C$8:$R$131,3,FALSE)/$E$121</f>
        <v>0.006807408573150571</v>
      </c>
      <c r="J28" s="32">
        <f>$C28*VLOOKUP($B28,'Standard values'!$C$8:$R$131,4,FALSE)/$E$121</f>
        <v>0.007562758904526337</v>
      </c>
      <c r="K28" s="33">
        <f>H28*'Standard values'!$G$9+I28*'Standard values'!$G$10+J28*'Standard values'!$G$11</f>
        <v>4.612570800332347</v>
      </c>
      <c r="L28" s="22"/>
      <c r="M28" s="131">
        <f aca="true" t="shared" si="0" ref="M28:M38">+K28/E$23</f>
        <v>10.218116885759343</v>
      </c>
      <c r="N28" s="132">
        <f>K28*$E$121/1000</f>
        <v>703.6205854243249</v>
      </c>
    </row>
    <row r="29" spans="1:14" ht="14.25">
      <c r="A29" s="13"/>
      <c r="B29" s="9" t="s">
        <v>116</v>
      </c>
      <c r="C29" s="303">
        <v>400</v>
      </c>
      <c r="D29" s="30" t="s">
        <v>302</v>
      </c>
      <c r="E29" s="38"/>
      <c r="F29" s="9"/>
      <c r="G29" s="9"/>
      <c r="H29" s="32">
        <f>$C29*VLOOKUP($B29,'Standard values'!$C$8:$R$131,2,FALSE)/$E$121</f>
        <v>0.3123450307361593</v>
      </c>
      <c r="I29" s="32">
        <f>$C29*VLOOKUP($B29,'Standard values'!$C$8:$R$131,3,FALSE)/$E$121</f>
        <v>0.0005661312681414486</v>
      </c>
      <c r="J29" s="32">
        <f>$C29*VLOOKUP($B29,'Standard values'!$C$8:$R$131,4,FALSE)/$E$121</f>
        <v>4.798611490036364E-05</v>
      </c>
      <c r="K29" s="33">
        <f>H29*'Standard values'!$G$9+I29*'Standard values'!$G$10+J29*'Standard values'!$G$11</f>
        <v>0.3395699399139203</v>
      </c>
      <c r="L29" s="22"/>
      <c r="M29" s="131">
        <f t="shared" si="0"/>
        <v>0.752241100923743</v>
      </c>
      <c r="N29" s="132">
        <f>K29*$E$121/1000</f>
        <v>51.799400000000006</v>
      </c>
    </row>
    <row r="30" spans="1:14" ht="15.75">
      <c r="A30" s="13"/>
      <c r="B30" s="9" t="s">
        <v>234</v>
      </c>
      <c r="C30" s="303">
        <v>134.88512128680762</v>
      </c>
      <c r="D30" s="30" t="s">
        <v>55</v>
      </c>
      <c r="E30" s="38"/>
      <c r="F30" s="9"/>
      <c r="G30" s="9"/>
      <c r="H30" s="32">
        <f>$C30*VLOOKUP($B30,'Standard values'!$C$8:$R$131,2,FALSE)/$E$121</f>
        <v>0.4742258012283632</v>
      </c>
      <c r="I30" s="32">
        <f>$C30*VLOOKUP($B30,'Standard values'!$C$8:$R$131,3,FALSE)/$E$121</f>
        <v>0.0013890474930672411</v>
      </c>
      <c r="J30" s="32">
        <f>$C30*VLOOKUP($B30,'Standard values'!$C$8:$R$131,4,FALSE)/$E$121</f>
        <v>1.0876111887915888E-05</v>
      </c>
      <c r="K30" s="33">
        <f>H30*'Standard values'!$G$9+I30*'Standard values'!$G$10+J30*'Standard values'!$G$11</f>
        <v>0.5093932226877328</v>
      </c>
      <c r="L30" s="22"/>
      <c r="M30" s="131">
        <f t="shared" si="0"/>
        <v>1.1284465248450726</v>
      </c>
      <c r="N30" s="132">
        <f>K30*$E$121/1000</f>
        <v>77.7049443951952</v>
      </c>
    </row>
    <row r="31" spans="1:14" ht="15.75">
      <c r="A31" s="13"/>
      <c r="B31" s="9" t="s">
        <v>235</v>
      </c>
      <c r="C31" s="303">
        <v>59.7044742076361</v>
      </c>
      <c r="D31" s="30" t="s">
        <v>56</v>
      </c>
      <c r="E31" s="38"/>
      <c r="F31" s="9"/>
      <c r="G31" s="9"/>
      <c r="H31" s="32">
        <f>$C31*VLOOKUP($B31,'Standard values'!$C$8:$R$131,2,FALSE)/$E$121</f>
        <v>0.3776483718484921</v>
      </c>
      <c r="I31" s="32">
        <f>$C31*VLOOKUP($B31,'Standard values'!$C$8:$R$131,3,FALSE)/$E$121</f>
        <v>0.0005209420827530938</v>
      </c>
      <c r="J31" s="32">
        <f>$C31*VLOOKUP($B31,'Standard values'!$C$8:$R$131,4,FALSE)/$E$121</f>
        <v>2.0156662105022035E-05</v>
      </c>
      <c r="K31" s="33">
        <f>H31*'Standard values'!$G$9+I31*'Standard values'!$G$10+J31*'Standard values'!$G$11</f>
        <v>0.3955964117348998</v>
      </c>
      <c r="L31" s="22"/>
      <c r="M31" s="131">
        <f t="shared" si="0"/>
        <v>0.876355193161031</v>
      </c>
      <c r="N31" s="132">
        <f>K31*$E$121/1000</f>
        <v>60.34590922628584</v>
      </c>
    </row>
    <row r="32" spans="1:14" ht="14.25">
      <c r="A32" s="13"/>
      <c r="B32" s="9" t="s">
        <v>31</v>
      </c>
      <c r="C32" s="284">
        <f>(0.097+0.094)*1.5+0.71*1+0.3</f>
        <v>1.2965</v>
      </c>
      <c r="D32" s="30" t="s">
        <v>52</v>
      </c>
      <c r="E32" s="38"/>
      <c r="F32" s="15"/>
      <c r="G32" s="15"/>
      <c r="H32" s="32">
        <f>$C32*VLOOKUP($B32,'Standard values'!$C$8:$R$131,2,FALSE)/$E$121</f>
        <v>0.08402716056582049</v>
      </c>
      <c r="I32" s="32">
        <f>$C32*VLOOKUP($B32,'Standard values'!$C$8:$R$131,3,FALSE)/$E$121</f>
        <v>0.00021695941906245064</v>
      </c>
      <c r="J32" s="32">
        <f>$C32*VLOOKUP($B32,'Standard values'!$C$8:$R$131,4,FALSE)/$E$121</f>
        <v>1.4290521336603235E-05</v>
      </c>
      <c r="K32" s="33">
        <f>H32*'Standard values'!$G$9+I32*'Standard values'!$G$10+J32*'Standard values'!$G$11</f>
        <v>0.09324722151989141</v>
      </c>
      <c r="L32" s="22"/>
      <c r="M32" s="131">
        <f t="shared" si="0"/>
        <v>0.2065683216599932</v>
      </c>
      <c r="N32" s="132">
        <f>K32*$E$121/1000</f>
        <v>14.22431599105</v>
      </c>
    </row>
    <row r="33" spans="1:14" ht="12.75">
      <c r="A33" s="13"/>
      <c r="B33" s="9"/>
      <c r="C33" s="16"/>
      <c r="D33" s="30"/>
      <c r="E33" s="38"/>
      <c r="F33" s="15"/>
      <c r="G33" s="15"/>
      <c r="H33" s="32"/>
      <c r="I33" s="32"/>
      <c r="J33" s="32"/>
      <c r="K33" s="33"/>
      <c r="L33" s="22"/>
      <c r="M33" s="131"/>
      <c r="N33" s="132"/>
    </row>
    <row r="34" spans="1:14" ht="12.75">
      <c r="A34" s="13"/>
      <c r="B34" s="10" t="s">
        <v>35</v>
      </c>
      <c r="C34" s="16"/>
      <c r="D34" s="30"/>
      <c r="E34" s="38"/>
      <c r="F34" s="9"/>
      <c r="G34" s="15"/>
      <c r="H34" s="32"/>
      <c r="I34" s="32"/>
      <c r="J34" s="32"/>
      <c r="K34" s="33"/>
      <c r="L34" s="22"/>
      <c r="M34" s="131"/>
      <c r="N34" s="132"/>
    </row>
    <row r="35" spans="1:14" ht="14.25">
      <c r="A35" s="13"/>
      <c r="B35" s="39" t="s">
        <v>120</v>
      </c>
      <c r="C35" s="286">
        <v>6</v>
      </c>
      <c r="D35" s="30" t="s">
        <v>52</v>
      </c>
      <c r="E35" s="38"/>
      <c r="F35" s="9"/>
      <c r="G35" s="9"/>
      <c r="H35" s="32">
        <f>$C35*VLOOKUP($B35,'Standard values'!$C$8:$R$131,2,FALSE)/$E$121</f>
        <v>0.08604909850143085</v>
      </c>
      <c r="I35" s="32">
        <f>$C35*VLOOKUP($B35,'Standard values'!$C$8:$R$131,3,FALSE)/$E$121</f>
        <v>0.00018094698605543676</v>
      </c>
      <c r="J35" s="32">
        <f>$C35*VLOOKUP($B35,'Standard values'!$C$8:$R$131,4,FALSE)/$E$121</f>
        <v>0.00016567009504945215</v>
      </c>
      <c r="K35" s="33">
        <f>H35*'Standard values'!$G$9+I35*'Standard values'!$G$10+J35*'Standard values'!$G$11</f>
        <v>0.13924922731534373</v>
      </c>
      <c r="L35" s="22"/>
      <c r="M35" s="131">
        <f t="shared" si="0"/>
        <v>0.30847545599892673</v>
      </c>
      <c r="N35" s="132">
        <f>K35*$E$121/1000</f>
        <v>21.2416518</v>
      </c>
    </row>
    <row r="36" spans="1:14" ht="12.75">
      <c r="A36" s="13"/>
      <c r="B36" s="10"/>
      <c r="C36" s="17"/>
      <c r="D36" s="30"/>
      <c r="E36" s="38"/>
      <c r="F36" s="9"/>
      <c r="G36" s="9"/>
      <c r="H36" s="32"/>
      <c r="I36" s="32"/>
      <c r="J36" s="32"/>
      <c r="K36" s="33"/>
      <c r="L36" s="22"/>
      <c r="M36" s="131"/>
      <c r="N36" s="132"/>
    </row>
    <row r="37" spans="1:14" ht="15.75">
      <c r="A37" s="13"/>
      <c r="B37" s="10" t="s">
        <v>81</v>
      </c>
      <c r="C37" s="284">
        <f>(0.042/3.6)*E21/1000</f>
        <v>3.2737240830223904</v>
      </c>
      <c r="D37" s="30" t="s">
        <v>52</v>
      </c>
      <c r="E37" s="38"/>
      <c r="F37" s="9"/>
      <c r="G37" s="9"/>
      <c r="H37" s="32">
        <v>0</v>
      </c>
      <c r="I37" s="32">
        <v>0</v>
      </c>
      <c r="J37" s="32">
        <f>1000*$C37/$E$121</f>
        <v>0.021460833333333335</v>
      </c>
      <c r="K37" s="33">
        <f>H37*'Standard values'!$G$9+I37*'Standard values'!$G$10+J37*'Standard values'!$G$11</f>
        <v>6.352406666666667</v>
      </c>
      <c r="L37" s="22"/>
      <c r="M37" s="131">
        <f t="shared" si="0"/>
        <v>14.072333333333333</v>
      </c>
      <c r="N37" s="132">
        <f>K37*$E$121/1000</f>
        <v>969.0223285746275</v>
      </c>
    </row>
    <row r="38" spans="1:14" ht="12.75">
      <c r="A38" s="13"/>
      <c r="B38" s="10"/>
      <c r="C38" s="20"/>
      <c r="D38" s="9"/>
      <c r="E38" s="38"/>
      <c r="F38" s="18"/>
      <c r="G38" s="18" t="s">
        <v>82</v>
      </c>
      <c r="H38" s="117">
        <f>SUM(H22:H37)</f>
        <v>7.18897368833873</v>
      </c>
      <c r="I38" s="117">
        <f>SUM(I22:I37)</f>
        <v>0.009681435822230243</v>
      </c>
      <c r="J38" s="117">
        <f>SUM(J22:J37)</f>
        <v>0.02928257174313903</v>
      </c>
      <c r="K38" s="118">
        <f>H38*'Standard values'!$G$9+I38*'Standard values'!$G$10+J38*'Standard values'!$G$11</f>
        <v>16.07928794821918</v>
      </c>
      <c r="L38" s="22"/>
      <c r="M38" s="128">
        <f t="shared" si="0"/>
        <v>35.6200589230732</v>
      </c>
      <c r="N38" s="133">
        <f>K38*$E$121/1000</f>
        <v>2452.8009409670394</v>
      </c>
    </row>
    <row r="39" spans="1:14" ht="12.75">
      <c r="A39" s="13"/>
      <c r="B39" s="10"/>
      <c r="C39" s="20"/>
      <c r="D39" s="9"/>
      <c r="E39" s="38"/>
      <c r="F39" s="18"/>
      <c r="G39" s="18"/>
      <c r="H39" s="21"/>
      <c r="I39" s="21"/>
      <c r="J39" s="21"/>
      <c r="K39" s="35"/>
      <c r="L39" s="22"/>
      <c r="M39" s="11"/>
      <c r="N39" s="11"/>
    </row>
    <row r="40" spans="1:14" ht="15.75">
      <c r="A40" s="233"/>
      <c r="B40" s="234"/>
      <c r="C40" s="234"/>
      <c r="D40" s="234"/>
      <c r="E40" s="233"/>
      <c r="F40" s="235"/>
      <c r="G40" s="235" t="s">
        <v>60</v>
      </c>
      <c r="H40" s="236"/>
      <c r="I40" s="237" t="s">
        <v>83</v>
      </c>
      <c r="J40" s="238"/>
      <c r="K40" s="239">
        <f>K38</f>
        <v>16.07928794821918</v>
      </c>
      <c r="L40" s="22"/>
      <c r="M40" s="11"/>
      <c r="N40" s="11"/>
    </row>
    <row r="41" spans="1:14" ht="12.75">
      <c r="A41" s="22"/>
      <c r="B41" s="22"/>
      <c r="C41" s="22"/>
      <c r="D41" s="22"/>
      <c r="E41" s="22"/>
      <c r="F41" s="51"/>
      <c r="G41" s="51"/>
      <c r="H41" s="52"/>
      <c r="I41" s="53"/>
      <c r="J41" s="54"/>
      <c r="K41" s="55"/>
      <c r="L41" s="22"/>
      <c r="M41" s="11"/>
      <c r="N41" s="11"/>
    </row>
    <row r="42" spans="1:14" ht="12.75">
      <c r="A42" s="11"/>
      <c r="B42" s="11"/>
      <c r="C42" s="11"/>
      <c r="D42" s="11"/>
      <c r="E42" s="11"/>
      <c r="F42" s="11"/>
      <c r="G42" s="11"/>
      <c r="H42" s="26"/>
      <c r="I42" s="26"/>
      <c r="J42" s="26"/>
      <c r="K42" s="26"/>
      <c r="L42" s="22"/>
      <c r="M42" s="11"/>
      <c r="N42" s="11"/>
    </row>
    <row r="43" spans="1:14" ht="15.75">
      <c r="A43" s="241" t="s">
        <v>381</v>
      </c>
      <c r="B43" s="242"/>
      <c r="C43" s="242"/>
      <c r="D43" s="242"/>
      <c r="E43" s="241" t="s">
        <v>37</v>
      </c>
      <c r="F43" s="243"/>
      <c r="G43" s="242"/>
      <c r="H43" s="243" t="s">
        <v>57</v>
      </c>
      <c r="I43" s="244"/>
      <c r="J43" s="244"/>
      <c r="K43" s="245"/>
      <c r="L43" s="22"/>
      <c r="M43" s="246" t="s">
        <v>252</v>
      </c>
      <c r="N43" s="11"/>
    </row>
    <row r="44" spans="1:14" ht="15.75">
      <c r="A44" s="13"/>
      <c r="B44" s="10" t="s">
        <v>133</v>
      </c>
      <c r="C44" s="285">
        <v>1</v>
      </c>
      <c r="D44" s="9" t="s">
        <v>382</v>
      </c>
      <c r="E44" s="106">
        <f>E21*C44</f>
        <v>280604.92140191916</v>
      </c>
      <c r="F44" s="147" t="s">
        <v>388</v>
      </c>
      <c r="G44" s="9"/>
      <c r="H44" s="19" t="s">
        <v>274</v>
      </c>
      <c r="I44" s="18"/>
      <c r="J44" s="18"/>
      <c r="K44" s="79"/>
      <c r="L44" s="22"/>
      <c r="M44" s="127" t="s">
        <v>387</v>
      </c>
      <c r="N44" s="11"/>
    </row>
    <row r="45" spans="1:14" ht="15.75">
      <c r="A45" s="13"/>
      <c r="B45" s="9"/>
      <c r="C45" s="9"/>
      <c r="D45" s="9"/>
      <c r="E45" s="124">
        <f>E22*C44</f>
        <v>1</v>
      </c>
      <c r="F45" s="85" t="s">
        <v>379</v>
      </c>
      <c r="G45" s="9"/>
      <c r="H45" s="45" t="s">
        <v>88</v>
      </c>
      <c r="I45" s="45" t="s">
        <v>89</v>
      </c>
      <c r="J45" s="45" t="s">
        <v>90</v>
      </c>
      <c r="K45" s="80" t="s">
        <v>91</v>
      </c>
      <c r="L45" s="22"/>
      <c r="M45" s="44" t="s">
        <v>91</v>
      </c>
      <c r="N45" s="11"/>
    </row>
    <row r="46" spans="1:14" ht="12.75">
      <c r="A46" s="13"/>
      <c r="B46" s="10" t="s">
        <v>27</v>
      </c>
      <c r="C46" s="9"/>
      <c r="D46" s="9"/>
      <c r="E46" s="124"/>
      <c r="F46" s="85"/>
      <c r="G46" s="9"/>
      <c r="H46" s="45"/>
      <c r="I46" s="45"/>
      <c r="J46" s="45"/>
      <c r="K46" s="80"/>
      <c r="L46" s="22"/>
      <c r="M46" s="81"/>
      <c r="N46" s="11"/>
    </row>
    <row r="47" spans="1:14" ht="15.75">
      <c r="A47" s="13"/>
      <c r="B47" s="9" t="s">
        <v>148</v>
      </c>
      <c r="C47" s="286">
        <v>30</v>
      </c>
      <c r="D47" s="9" t="s">
        <v>34</v>
      </c>
      <c r="E47" s="125">
        <f>(C47*E45)/(VLOOKUP($B44,'Standard values'!$C$8:$R$131,13,FALSE))/(1-$C$22)/1000</f>
        <v>0.007361963190184048</v>
      </c>
      <c r="F47" s="9" t="s">
        <v>390</v>
      </c>
      <c r="G47" s="9"/>
      <c r="H47" s="76">
        <f>$E47*VLOOKUP($B47,'Standard values'!$C$8:$R$131,14,FALSE)*VLOOKUP(C48,'Standard values'!$C$8:$P$131,6,FALSE)/$E$122</f>
        <v>1.1108774355828221</v>
      </c>
      <c r="I47" s="76">
        <f>$E47*VLOOKUP($B47,'Standard values'!$C$8:$R$131,15,FALSE)/$E$122</f>
        <v>6.771165644171779E-05</v>
      </c>
      <c r="J47" s="76">
        <f>$E47*VLOOKUP($B47,'Standard values'!$C$8:$R$131,16,FALSE)/$E$122</f>
        <v>0</v>
      </c>
      <c r="K47" s="118">
        <f>H47*'Standard values'!$G$9+I47*'Standard values'!$G$10+J47*'Standard values'!$G$11</f>
        <v>1.1124348036809817</v>
      </c>
      <c r="L47" s="22"/>
      <c r="M47" s="128">
        <f>+K47/E23</f>
        <v>2.46435</v>
      </c>
      <c r="N47" s="11"/>
    </row>
    <row r="48" spans="1:14" ht="12.75">
      <c r="A48" s="13"/>
      <c r="B48" s="23" t="s">
        <v>244</v>
      </c>
      <c r="C48" s="287" t="s">
        <v>33</v>
      </c>
      <c r="D48" s="9"/>
      <c r="E48" s="125"/>
      <c r="F48" s="9"/>
      <c r="G48" s="9"/>
      <c r="H48" s="76"/>
      <c r="I48" s="76"/>
      <c r="J48" s="76"/>
      <c r="K48" s="118"/>
      <c r="L48" s="22"/>
      <c r="M48" s="11"/>
      <c r="N48" s="11"/>
    </row>
    <row r="49" spans="1:14" ht="12.75">
      <c r="A49" s="13"/>
      <c r="B49" s="9"/>
      <c r="C49" s="9"/>
      <c r="D49" s="9"/>
      <c r="E49" s="13"/>
      <c r="F49" s="9"/>
      <c r="G49" s="83"/>
      <c r="H49" s="76"/>
      <c r="I49" s="76"/>
      <c r="J49" s="76"/>
      <c r="K49" s="118"/>
      <c r="L49" s="22"/>
      <c r="M49" s="11"/>
      <c r="N49" s="11"/>
    </row>
    <row r="50" spans="1:14" ht="15.75">
      <c r="A50" s="233"/>
      <c r="B50" s="234"/>
      <c r="C50" s="234"/>
      <c r="D50" s="234"/>
      <c r="E50" s="233"/>
      <c r="F50" s="235"/>
      <c r="G50" s="235" t="s">
        <v>60</v>
      </c>
      <c r="H50" s="234"/>
      <c r="I50" s="237" t="s">
        <v>83</v>
      </c>
      <c r="J50" s="240"/>
      <c r="K50" s="239">
        <f>K47</f>
        <v>1.1124348036809817</v>
      </c>
      <c r="L50" s="22"/>
      <c r="M50" s="11"/>
      <c r="N50" s="11"/>
    </row>
    <row r="51" spans="1:14" ht="12.75">
      <c r="A51" s="11"/>
      <c r="B51" s="11"/>
      <c r="C51" s="11"/>
      <c r="D51" s="11"/>
      <c r="E51" s="11"/>
      <c r="F51" s="47"/>
      <c r="G51" s="47"/>
      <c r="H51" s="11"/>
      <c r="I51" s="48"/>
      <c r="J51" s="49"/>
      <c r="K51" s="50"/>
      <c r="L51" s="22"/>
      <c r="M51" s="22"/>
      <c r="N51" s="22"/>
    </row>
    <row r="52" spans="1:14" ht="12.75">
      <c r="A52" s="11"/>
      <c r="B52" s="11"/>
      <c r="C52" s="11"/>
      <c r="D52" s="11"/>
      <c r="E52" s="11"/>
      <c r="F52" s="11"/>
      <c r="G52" s="11"/>
      <c r="H52" s="11"/>
      <c r="I52" s="11"/>
      <c r="J52" s="11"/>
      <c r="K52" s="46"/>
      <c r="L52" s="22"/>
      <c r="M52" s="22"/>
      <c r="N52" s="22"/>
    </row>
    <row r="53" spans="1:14" ht="15.75">
      <c r="A53" s="241" t="s">
        <v>62</v>
      </c>
      <c r="B53" s="242"/>
      <c r="C53" s="242"/>
      <c r="D53" s="242"/>
      <c r="E53" s="241" t="s">
        <v>37</v>
      </c>
      <c r="F53" s="243"/>
      <c r="G53" s="242"/>
      <c r="H53" s="243" t="s">
        <v>57</v>
      </c>
      <c r="I53" s="244"/>
      <c r="J53" s="244"/>
      <c r="K53" s="245"/>
      <c r="L53" s="22"/>
      <c r="M53" s="141"/>
      <c r="N53" s="22"/>
    </row>
    <row r="54" spans="1:14" ht="12.75">
      <c r="A54" s="13"/>
      <c r="B54" s="10" t="s">
        <v>49</v>
      </c>
      <c r="C54" s="9"/>
      <c r="D54" s="9"/>
      <c r="E54" s="106"/>
      <c r="F54" s="9"/>
      <c r="G54" s="9"/>
      <c r="H54" s="19" t="s">
        <v>274</v>
      </c>
      <c r="I54" s="18"/>
      <c r="J54" s="18"/>
      <c r="K54" s="79"/>
      <c r="L54" s="22"/>
      <c r="M54" s="56"/>
      <c r="N54" s="22"/>
    </row>
    <row r="55" spans="1:14" ht="15.75">
      <c r="A55" s="13"/>
      <c r="B55" s="9" t="s">
        <v>28</v>
      </c>
      <c r="C55" s="285">
        <f>1/1.8395</f>
        <v>0.5436259853220984</v>
      </c>
      <c r="D55" s="9" t="s">
        <v>383</v>
      </c>
      <c r="E55" s="106">
        <f>E44*C55</f>
        <v>152544.12688334828</v>
      </c>
      <c r="F55" s="9" t="s">
        <v>63</v>
      </c>
      <c r="G55" s="9"/>
      <c r="H55" s="45" t="s">
        <v>88</v>
      </c>
      <c r="I55" s="45" t="s">
        <v>89</v>
      </c>
      <c r="J55" s="45" t="s">
        <v>90</v>
      </c>
      <c r="K55" s="80" t="s">
        <v>91</v>
      </c>
      <c r="L55" s="22"/>
      <c r="M55" s="142"/>
      <c r="N55" s="22"/>
    </row>
    <row r="56" spans="1:14" ht="15.75">
      <c r="A56" s="84"/>
      <c r="B56" s="85" t="s">
        <v>384</v>
      </c>
      <c r="C56" s="285">
        <f>C55*(1-0.713)/0.713</f>
        <v>0.21882280194592182</v>
      </c>
      <c r="D56" s="147" t="s">
        <v>386</v>
      </c>
      <c r="E56" s="124">
        <f>E45*C55</f>
        <v>0.5436259853220984</v>
      </c>
      <c r="F56" s="85" t="s">
        <v>379</v>
      </c>
      <c r="G56" s="9"/>
      <c r="H56" s="9"/>
      <c r="I56" s="9"/>
      <c r="J56" s="9"/>
      <c r="K56" s="81"/>
      <c r="L56" s="22"/>
      <c r="M56" s="22"/>
      <c r="N56" s="22"/>
    </row>
    <row r="57" spans="1:14" ht="12.75">
      <c r="A57" s="84"/>
      <c r="B57" s="85"/>
      <c r="C57" s="86"/>
      <c r="D57" s="85"/>
      <c r="E57" s="84"/>
      <c r="F57" s="9"/>
      <c r="G57" s="9"/>
      <c r="H57" s="9"/>
      <c r="I57" s="9"/>
      <c r="J57" s="9"/>
      <c r="K57" s="81"/>
      <c r="L57" s="22"/>
      <c r="M57" s="22"/>
      <c r="N57" s="22"/>
    </row>
    <row r="58" spans="1:14" ht="12.75">
      <c r="A58" s="13"/>
      <c r="B58" s="10" t="s">
        <v>50</v>
      </c>
      <c r="C58" s="9"/>
      <c r="D58" s="9"/>
      <c r="E58" s="38"/>
      <c r="F58" s="9"/>
      <c r="G58" s="9"/>
      <c r="H58" s="9"/>
      <c r="I58" s="9"/>
      <c r="J58" s="9"/>
      <c r="K58" s="81"/>
      <c r="L58" s="22"/>
      <c r="M58" s="22"/>
      <c r="N58" s="22"/>
    </row>
    <row r="59" spans="1:14" ht="15.75">
      <c r="A59" s="13"/>
      <c r="B59" s="9" t="s">
        <v>237</v>
      </c>
      <c r="C59" s="285">
        <f>1.4*0.0345</f>
        <v>0.0483</v>
      </c>
      <c r="D59" s="9" t="s">
        <v>24</v>
      </c>
      <c r="E59" s="13"/>
      <c r="F59" s="9"/>
      <c r="G59" s="9"/>
      <c r="H59" s="76">
        <f>$C59*$E$56*VLOOKUP($B59,'Standard values'!$C$8:$R$131,6,FALSE)/$E$122</f>
        <v>5.76519265</v>
      </c>
      <c r="I59" s="76">
        <f>$C59*$E$56*VLOOKUP($B59,'Standard values'!$C$8:$R$131,7,FALSE)/$E$122</f>
        <v>0.014059325000000003</v>
      </c>
      <c r="J59" s="76">
        <f>$C59*$E$56*VLOOKUP($B59,'Standard values'!$C$8:$R$131,8,FALSE)/$E$122</f>
        <v>0.00026028333333333336</v>
      </c>
      <c r="K59" s="91">
        <f>H59*'Standard values'!$G$9+I59*'Standard values'!$G$10+J59*'Standard values'!$G$11</f>
        <v>6.165600991666667</v>
      </c>
      <c r="L59" s="22"/>
      <c r="M59" s="143"/>
      <c r="N59" s="22"/>
    </row>
    <row r="60" spans="1:14" ht="15.75">
      <c r="A60" s="13"/>
      <c r="B60" s="9" t="s">
        <v>25</v>
      </c>
      <c r="C60" s="285">
        <f>1.4*0.2806</f>
        <v>0.39284</v>
      </c>
      <c r="D60" s="9" t="s">
        <v>24</v>
      </c>
      <c r="E60" s="13"/>
      <c r="F60" s="9"/>
      <c r="G60" s="9"/>
      <c r="H60" s="76">
        <f>$C60*$E$56*VLOOKUP($B60,'Standard values'!$C$8:$R$131,6,FALSE)/$E$122</f>
        <v>28.420891071066666</v>
      </c>
      <c r="I60" s="76">
        <f>$C60*$E$56*VLOOKUP($B60,'Standard values'!$C$8:$R$131,7,FALSE)/$E$122</f>
        <v>0.08986362921234567</v>
      </c>
      <c r="J60" s="76">
        <f>$C60*$E$56*VLOOKUP($B60,'Standard values'!$C$8:$R$131,8,FALSE)/$E$122</f>
        <v>0.0005758258419753087</v>
      </c>
      <c r="K60" s="91">
        <f>H60*'Standard values'!$G$9+I60*'Standard values'!$G$10+J60*'Standard values'!$G$11</f>
        <v>30.65819899217531</v>
      </c>
      <c r="L60" s="22"/>
      <c r="M60" s="143"/>
      <c r="N60" s="22"/>
    </row>
    <row r="61" spans="1:14" ht="12.75">
      <c r="A61" s="13"/>
      <c r="B61" s="9"/>
      <c r="C61" s="39"/>
      <c r="D61" s="39"/>
      <c r="E61" s="107"/>
      <c r="F61" s="9"/>
      <c r="G61" s="9"/>
      <c r="H61" s="88">
        <f>SUM(H56:H60)</f>
        <v>34.186083721066666</v>
      </c>
      <c r="I61" s="88">
        <f>SUM(I56:I60)</f>
        <v>0.10392295421234567</v>
      </c>
      <c r="J61" s="88">
        <f>SUM(J56:J60)</f>
        <v>0.000836109175308642</v>
      </c>
      <c r="K61" s="118">
        <f>H61*'Standard values'!$G$9+I61*'Standard values'!$G$10+J61*'Standard values'!$G$11</f>
        <v>36.82379998384198</v>
      </c>
      <c r="L61" s="22"/>
      <c r="M61" s="144"/>
      <c r="N61" s="22"/>
    </row>
    <row r="62" spans="1:14" ht="12.75">
      <c r="A62" s="13"/>
      <c r="B62" s="89"/>
      <c r="C62" s="39"/>
      <c r="D62" s="39"/>
      <c r="E62" s="13"/>
      <c r="F62" s="9"/>
      <c r="G62" s="9"/>
      <c r="H62" s="9"/>
      <c r="I62" s="9"/>
      <c r="J62" s="9"/>
      <c r="K62" s="81"/>
      <c r="L62" s="22"/>
      <c r="M62" s="22"/>
      <c r="N62" s="22"/>
    </row>
    <row r="63" spans="1:14" ht="15.75">
      <c r="A63" s="233"/>
      <c r="B63" s="234"/>
      <c r="C63" s="234"/>
      <c r="D63" s="234"/>
      <c r="E63" s="233"/>
      <c r="F63" s="235"/>
      <c r="G63" s="235" t="s">
        <v>60</v>
      </c>
      <c r="H63" s="234"/>
      <c r="I63" s="237" t="s">
        <v>83</v>
      </c>
      <c r="J63" s="240"/>
      <c r="K63" s="239">
        <f>K61</f>
        <v>36.82379998384198</v>
      </c>
      <c r="L63" s="22"/>
      <c r="M63" s="22"/>
      <c r="N63" s="22"/>
    </row>
    <row r="64" spans="1:14" ht="12.75">
      <c r="A64" s="11"/>
      <c r="B64" s="11"/>
      <c r="C64" s="11"/>
      <c r="D64" s="11"/>
      <c r="E64" s="11"/>
      <c r="F64" s="47"/>
      <c r="G64" s="47"/>
      <c r="H64" s="11"/>
      <c r="I64" s="48"/>
      <c r="J64" s="49"/>
      <c r="K64" s="59"/>
      <c r="L64" s="22"/>
      <c r="M64" s="11"/>
      <c r="N64" s="11"/>
    </row>
    <row r="65" spans="1:14" ht="12.75">
      <c r="A65" s="11"/>
      <c r="B65" s="11"/>
      <c r="C65" s="11"/>
      <c r="D65" s="11"/>
      <c r="E65" s="11"/>
      <c r="F65" s="47"/>
      <c r="G65" s="47"/>
      <c r="H65" s="11"/>
      <c r="I65" s="48"/>
      <c r="J65" s="49"/>
      <c r="K65" s="59"/>
      <c r="L65" s="22"/>
      <c r="M65" s="11"/>
      <c r="N65" s="11"/>
    </row>
    <row r="66" spans="1:14" ht="15.75">
      <c r="A66" s="241" t="s">
        <v>92</v>
      </c>
      <c r="B66" s="242"/>
      <c r="C66" s="242"/>
      <c r="D66" s="242"/>
      <c r="E66" s="247" t="s">
        <v>51</v>
      </c>
      <c r="F66" s="248"/>
      <c r="G66" s="248"/>
      <c r="H66" s="249"/>
      <c r="I66" s="247" t="s">
        <v>83</v>
      </c>
      <c r="J66" s="249"/>
      <c r="K66" s="250">
        <f>K40+K50+K63</f>
        <v>54.01552273574214</v>
      </c>
      <c r="L66" s="22"/>
      <c r="M66" s="11"/>
      <c r="N66" s="11"/>
    </row>
    <row r="67" spans="1:14" ht="15.75">
      <c r="A67" s="251" t="s">
        <v>58</v>
      </c>
      <c r="B67" s="252"/>
      <c r="C67" s="252"/>
      <c r="D67" s="252"/>
      <c r="E67" s="253"/>
      <c r="F67" s="253"/>
      <c r="G67" s="253"/>
      <c r="H67" s="253"/>
      <c r="I67" s="253"/>
      <c r="J67" s="253"/>
      <c r="K67" s="254"/>
      <c r="L67" s="22"/>
      <c r="M67" s="11"/>
      <c r="N67" s="11"/>
    </row>
    <row r="68" spans="1:14" ht="15.75">
      <c r="A68" s="6"/>
      <c r="B68" s="1"/>
      <c r="C68" s="1"/>
      <c r="D68" s="69"/>
      <c r="E68" s="69"/>
      <c r="F68" s="69"/>
      <c r="G68" s="69" t="s">
        <v>340</v>
      </c>
      <c r="H68" s="158">
        <f>K66</f>
        <v>54.01552273574214</v>
      </c>
      <c r="I68" s="1" t="s">
        <v>273</v>
      </c>
      <c r="J68" s="1"/>
      <c r="K68" s="7"/>
      <c r="L68" s="22"/>
      <c r="M68" s="11"/>
      <c r="N68" s="11"/>
    </row>
    <row r="69" spans="1:14" ht="15.75">
      <c r="A69" s="6"/>
      <c r="B69" s="1" t="s">
        <v>238</v>
      </c>
      <c r="C69" s="1" t="s">
        <v>28</v>
      </c>
      <c r="D69" s="1"/>
      <c r="E69" s="69" t="s">
        <v>391</v>
      </c>
      <c r="F69" s="173">
        <f>C55</f>
        <v>0.5436259853220984</v>
      </c>
      <c r="G69" s="1" t="s">
        <v>30</v>
      </c>
      <c r="H69" s="5">
        <f>$H$68*F69/F$71</f>
        <v>38.51306771058414</v>
      </c>
      <c r="I69" s="1" t="s">
        <v>273</v>
      </c>
      <c r="J69" s="1"/>
      <c r="K69" s="7"/>
      <c r="L69" s="22"/>
      <c r="M69" s="11"/>
      <c r="N69" s="11"/>
    </row>
    <row r="70" spans="1:14" ht="15.75">
      <c r="A70" s="6"/>
      <c r="B70" s="1" t="s">
        <v>239</v>
      </c>
      <c r="C70" s="1" t="s">
        <v>138</v>
      </c>
      <c r="D70" s="1"/>
      <c r="E70" s="69" t="s">
        <v>385</v>
      </c>
      <c r="F70" s="173">
        <f>C56</f>
        <v>0.21882280194592182</v>
      </c>
      <c r="G70" s="1" t="s">
        <v>30</v>
      </c>
      <c r="H70" s="5">
        <f>$H$68*F70/F$71</f>
        <v>15.502455025157996</v>
      </c>
      <c r="I70" s="1" t="s">
        <v>273</v>
      </c>
      <c r="J70" s="1"/>
      <c r="K70" s="7"/>
      <c r="L70" s="22"/>
      <c r="M70" s="11"/>
      <c r="N70" s="11"/>
    </row>
    <row r="71" spans="1:14" ht="12.75">
      <c r="A71" s="6"/>
      <c r="B71" s="1"/>
      <c r="C71" s="1"/>
      <c r="D71" s="1"/>
      <c r="E71" s="1" t="s">
        <v>59</v>
      </c>
      <c r="F71" s="173">
        <f>SUM(F69:F70)</f>
        <v>0.7624487872680202</v>
      </c>
      <c r="G71" s="1" t="s">
        <v>30</v>
      </c>
      <c r="H71" s="1"/>
      <c r="I71" s="1"/>
      <c r="J71" s="1"/>
      <c r="K71" s="7"/>
      <c r="L71" s="22"/>
      <c r="M71" s="11"/>
      <c r="N71" s="11"/>
    </row>
    <row r="72" spans="1:14" ht="15.75">
      <c r="A72" s="233"/>
      <c r="B72" s="234"/>
      <c r="C72" s="234"/>
      <c r="D72" s="234"/>
      <c r="E72" s="237" t="s">
        <v>93</v>
      </c>
      <c r="F72" s="235"/>
      <c r="G72" s="260"/>
      <c r="H72" s="234"/>
      <c r="I72" s="237" t="s">
        <v>83</v>
      </c>
      <c r="J72" s="260"/>
      <c r="K72" s="239">
        <f>H69</f>
        <v>38.51306771058414</v>
      </c>
      <c r="L72" s="22"/>
      <c r="M72" s="22"/>
      <c r="N72" s="22"/>
    </row>
    <row r="73" spans="1:14" ht="12.75">
      <c r="A73" s="11"/>
      <c r="B73" s="11"/>
      <c r="C73" s="11"/>
      <c r="D73" s="22"/>
      <c r="E73" s="22"/>
      <c r="F73" s="49"/>
      <c r="G73" s="66"/>
      <c r="H73" s="56"/>
      <c r="I73" s="22"/>
      <c r="J73" s="22"/>
      <c r="K73" s="71"/>
      <c r="L73" s="22"/>
      <c r="M73" s="22"/>
      <c r="N73" s="22"/>
    </row>
    <row r="74" spans="1:14" ht="12.75">
      <c r="A74" s="46"/>
      <c r="B74" s="59"/>
      <c r="C74" s="60"/>
      <c r="D74" s="11"/>
      <c r="E74" s="22"/>
      <c r="F74" s="22"/>
      <c r="G74" s="22"/>
      <c r="H74" s="22"/>
      <c r="I74" s="65"/>
      <c r="J74" s="22"/>
      <c r="K74" s="22"/>
      <c r="L74" s="22"/>
      <c r="M74" s="22"/>
      <c r="N74" s="22"/>
    </row>
    <row r="75" spans="1:14" ht="15.75">
      <c r="A75" s="241" t="s">
        <v>509</v>
      </c>
      <c r="B75" s="243"/>
      <c r="C75" s="242"/>
      <c r="D75" s="242"/>
      <c r="E75" s="241" t="s">
        <v>37</v>
      </c>
      <c r="F75" s="243"/>
      <c r="G75" s="242"/>
      <c r="H75" s="243" t="s">
        <v>57</v>
      </c>
      <c r="I75" s="244"/>
      <c r="J75" s="244"/>
      <c r="K75" s="245"/>
      <c r="L75" s="22"/>
      <c r="M75" s="141"/>
      <c r="N75" s="22"/>
    </row>
    <row r="76" spans="1:14" ht="15.75">
      <c r="A76" s="13"/>
      <c r="B76" s="10" t="s">
        <v>28</v>
      </c>
      <c r="C76" s="285">
        <v>1</v>
      </c>
      <c r="D76" s="9" t="s">
        <v>26</v>
      </c>
      <c r="E76" s="38">
        <f>E55*C76</f>
        <v>152544.12688334828</v>
      </c>
      <c r="F76" s="9" t="s">
        <v>63</v>
      </c>
      <c r="G76" s="90"/>
      <c r="H76" s="19" t="s">
        <v>274</v>
      </c>
      <c r="I76" s="18"/>
      <c r="J76" s="18"/>
      <c r="K76" s="79"/>
      <c r="L76" s="22"/>
      <c r="M76" s="56"/>
      <c r="N76" s="22"/>
    </row>
    <row r="77" spans="1:14" ht="15.75">
      <c r="A77" s="13"/>
      <c r="B77" s="9"/>
      <c r="C77" s="9"/>
      <c r="D77" s="9"/>
      <c r="E77" s="124">
        <f>E56*C76</f>
        <v>0.5436259853220984</v>
      </c>
      <c r="F77" s="85" t="s">
        <v>379</v>
      </c>
      <c r="G77" s="90"/>
      <c r="H77" s="45" t="s">
        <v>88</v>
      </c>
      <c r="I77" s="45" t="s">
        <v>89</v>
      </c>
      <c r="J77" s="45" t="s">
        <v>90</v>
      </c>
      <c r="K77" s="80" t="s">
        <v>91</v>
      </c>
      <c r="L77" s="22"/>
      <c r="M77" s="142"/>
      <c r="N77" s="22"/>
    </row>
    <row r="78" spans="1:14" ht="12.75">
      <c r="A78" s="13"/>
      <c r="B78" s="10" t="s">
        <v>27</v>
      </c>
      <c r="C78" s="9"/>
      <c r="D78" s="9"/>
      <c r="E78" s="38"/>
      <c r="F78" s="9"/>
      <c r="G78" s="9"/>
      <c r="H78" s="9"/>
      <c r="I78" s="9"/>
      <c r="J78" s="9"/>
      <c r="K78" s="81"/>
      <c r="L78" s="22"/>
      <c r="M78" s="22"/>
      <c r="N78" s="22"/>
    </row>
    <row r="79" spans="1:14" ht="15.75">
      <c r="A79" s="13"/>
      <c r="B79" s="9" t="s">
        <v>249</v>
      </c>
      <c r="C79" s="286">
        <f>2*150</f>
        <v>300</v>
      </c>
      <c r="D79" s="9" t="s">
        <v>34</v>
      </c>
      <c r="E79" s="125">
        <f>(C79*E77/VLOOKUP($B76,'Standard values'!$C$8:$R$131,13,FALSE))/1000</f>
        <v>0.00608309569551024</v>
      </c>
      <c r="F79" s="9" t="s">
        <v>243</v>
      </c>
      <c r="G79" s="9"/>
      <c r="H79" s="76">
        <f>$E79*VLOOKUP($B79,'Standard values'!$C$8:$R$131,14,FALSE)*VLOOKUP(C80,'Standard values'!$C$8:$P$131,6,FALSE)/$E$122</f>
        <v>0.9885117493472585</v>
      </c>
      <c r="I79" s="76">
        <f>$E79*VLOOKUP($B79,'Standard values'!$C$8:$R$131,15,FALSE)/$E$122</f>
        <v>5.5949272659455434E-05</v>
      </c>
      <c r="J79" s="76">
        <f>$E79*VLOOKUP($B79,'Standard values'!$C$8:$R$131,16,FALSE)/$E$122</f>
        <v>0</v>
      </c>
      <c r="K79" s="118">
        <f>H79*'Standard values'!$G$9+I79*'Standard values'!$G$10+J79*'Standard values'!$G$11</f>
        <v>0.989798582618426</v>
      </c>
      <c r="L79" s="22"/>
      <c r="M79" s="22"/>
      <c r="N79" s="22"/>
    </row>
    <row r="80" spans="1:14" ht="12.75">
      <c r="A80" s="13"/>
      <c r="B80" s="23" t="s">
        <v>244</v>
      </c>
      <c r="C80" s="287" t="s">
        <v>33</v>
      </c>
      <c r="D80" s="9"/>
      <c r="E80" s="13"/>
      <c r="F80" s="9"/>
      <c r="G80" s="9"/>
      <c r="H80" s="76"/>
      <c r="I80" s="76"/>
      <c r="J80" s="76"/>
      <c r="K80" s="118"/>
      <c r="L80" s="22"/>
      <c r="M80" s="22"/>
      <c r="N80" s="22"/>
    </row>
    <row r="81" spans="1:14" ht="12.75">
      <c r="A81" s="13"/>
      <c r="B81" s="9"/>
      <c r="C81" s="17"/>
      <c r="D81" s="9"/>
      <c r="E81" s="125"/>
      <c r="F81" s="9"/>
      <c r="G81" s="9"/>
      <c r="H81" s="76"/>
      <c r="I81" s="76"/>
      <c r="J81" s="76"/>
      <c r="K81" s="118"/>
      <c r="L81" s="22"/>
      <c r="M81" s="22"/>
      <c r="N81" s="22"/>
    </row>
    <row r="82" spans="1:14" ht="12.75">
      <c r="A82" s="13"/>
      <c r="B82" s="10" t="s">
        <v>103</v>
      </c>
      <c r="C82" s="9"/>
      <c r="D82" s="9"/>
      <c r="E82" s="13"/>
      <c r="F82" s="9"/>
      <c r="G82" s="9"/>
      <c r="H82" s="76"/>
      <c r="I82" s="76"/>
      <c r="J82" s="76"/>
      <c r="K82" s="87"/>
      <c r="L82" s="22"/>
      <c r="M82" s="22"/>
      <c r="N82" s="22"/>
    </row>
    <row r="83" spans="1:14" ht="15.75">
      <c r="A83" s="82"/>
      <c r="B83" s="9" t="s">
        <v>236</v>
      </c>
      <c r="C83" s="286">
        <v>0.00084</v>
      </c>
      <c r="D83" s="9" t="s">
        <v>24</v>
      </c>
      <c r="E83" s="13"/>
      <c r="F83" s="9"/>
      <c r="G83" s="9"/>
      <c r="H83" s="76">
        <f>$C83*$E$77*VLOOKUP($B83,'Standard values'!$C$8:$R$131,6,FALSE)/$E$122</f>
        <v>0.10146738000000001</v>
      </c>
      <c r="I83" s="76">
        <f>$C83*$E$77*VLOOKUP($B83,'Standard values'!$C$8:$R$131,7,FALSE)/$E$122</f>
        <v>0.00024745</v>
      </c>
      <c r="J83" s="76">
        <f>$C83*$E$77*VLOOKUP($B83,'Standard values'!$C$8:$R$131,8,FALSE)/$E$122</f>
        <v>4.596666666666667E-06</v>
      </c>
      <c r="K83" s="118">
        <f>H83*'Standard values'!$G$9+I83*'Standard values'!$G$10+J83*'Standard values'!$G$11</f>
        <v>0.10851934333333334</v>
      </c>
      <c r="L83" s="22"/>
      <c r="M83" s="144"/>
      <c r="N83" s="22"/>
    </row>
    <row r="84" spans="1:14" ht="15.75">
      <c r="A84" s="233"/>
      <c r="B84" s="234"/>
      <c r="C84" s="234"/>
      <c r="D84" s="234"/>
      <c r="E84" s="233"/>
      <c r="F84" s="235"/>
      <c r="G84" s="235" t="s">
        <v>60</v>
      </c>
      <c r="H84" s="234"/>
      <c r="I84" s="237" t="s">
        <v>83</v>
      </c>
      <c r="J84" s="240"/>
      <c r="K84" s="239">
        <f>K83+K79</f>
        <v>1.0983179259517593</v>
      </c>
      <c r="L84" s="22"/>
      <c r="M84" s="144"/>
      <c r="N84" s="22"/>
    </row>
    <row r="85" spans="1:14" ht="12.75">
      <c r="A85" s="11"/>
      <c r="B85" s="11"/>
      <c r="C85" s="11"/>
      <c r="D85" s="11"/>
      <c r="E85" s="11"/>
      <c r="F85" s="47"/>
      <c r="G85" s="47"/>
      <c r="H85" s="11"/>
      <c r="I85" s="48"/>
      <c r="J85" s="49"/>
      <c r="K85" s="50"/>
      <c r="L85" s="22"/>
      <c r="M85" s="22"/>
      <c r="N85" s="22"/>
    </row>
    <row r="86" spans="1:14" ht="12.75">
      <c r="A86" s="11"/>
      <c r="B86" s="11"/>
      <c r="C86" s="11"/>
      <c r="D86" s="11"/>
      <c r="E86" s="11"/>
      <c r="F86" s="47"/>
      <c r="G86" s="47"/>
      <c r="H86" s="11"/>
      <c r="I86" s="48"/>
      <c r="J86" s="49"/>
      <c r="K86" s="50"/>
      <c r="L86" s="22"/>
      <c r="M86" s="22"/>
      <c r="N86" s="22"/>
    </row>
    <row r="87" spans="1:14" ht="15.75">
      <c r="A87" s="241" t="s">
        <v>94</v>
      </c>
      <c r="B87" s="242"/>
      <c r="C87" s="242"/>
      <c r="D87" s="242"/>
      <c r="E87" s="241" t="s">
        <v>37</v>
      </c>
      <c r="F87" s="242"/>
      <c r="G87" s="242"/>
      <c r="H87" s="242"/>
      <c r="I87" s="242"/>
      <c r="J87" s="242"/>
      <c r="K87" s="255"/>
      <c r="L87" s="22"/>
      <c r="M87" s="141"/>
      <c r="N87" s="22"/>
    </row>
    <row r="88" spans="1:14" ht="15.75">
      <c r="A88" s="13"/>
      <c r="B88" s="10" t="s">
        <v>49</v>
      </c>
      <c r="C88" s="291">
        <v>1</v>
      </c>
      <c r="D88" s="9" t="s">
        <v>26</v>
      </c>
      <c r="E88" s="38">
        <f>E76*C88</f>
        <v>152544.12688334828</v>
      </c>
      <c r="F88" s="9" t="s">
        <v>63</v>
      </c>
      <c r="G88" s="9"/>
      <c r="H88" s="19" t="s">
        <v>274</v>
      </c>
      <c r="I88" s="18"/>
      <c r="J88" s="18"/>
      <c r="K88" s="79"/>
      <c r="L88" s="22"/>
      <c r="M88" s="56"/>
      <c r="N88" s="22"/>
    </row>
    <row r="89" spans="1:14" ht="15.75">
      <c r="A89" s="13"/>
      <c r="B89" s="9"/>
      <c r="C89" s="9"/>
      <c r="D89" s="9"/>
      <c r="E89" s="124">
        <f>E77*C88</f>
        <v>0.5436259853220984</v>
      </c>
      <c r="F89" s="85" t="s">
        <v>379</v>
      </c>
      <c r="G89" s="9"/>
      <c r="H89" s="45" t="s">
        <v>88</v>
      </c>
      <c r="I89" s="45" t="s">
        <v>89</v>
      </c>
      <c r="J89" s="45" t="s">
        <v>90</v>
      </c>
      <c r="K89" s="80" t="s">
        <v>91</v>
      </c>
      <c r="L89" s="22"/>
      <c r="M89" s="142"/>
      <c r="N89" s="22"/>
    </row>
    <row r="90" spans="1:14" ht="12.75">
      <c r="A90" s="13"/>
      <c r="B90" s="10" t="s">
        <v>50</v>
      </c>
      <c r="C90" s="9"/>
      <c r="D90" s="9"/>
      <c r="E90" s="13"/>
      <c r="F90" s="9"/>
      <c r="G90" s="9"/>
      <c r="H90" s="76"/>
      <c r="I90" s="76"/>
      <c r="J90" s="76"/>
      <c r="K90" s="87"/>
      <c r="L90" s="22"/>
      <c r="M90" s="22"/>
      <c r="N90" s="22"/>
    </row>
    <row r="91" spans="1:14" ht="15.75">
      <c r="A91" s="13"/>
      <c r="B91" s="9" t="s">
        <v>236</v>
      </c>
      <c r="C91" s="292">
        <v>0.0034</v>
      </c>
      <c r="D91" s="9" t="s">
        <v>24</v>
      </c>
      <c r="E91" s="13"/>
      <c r="F91" s="9"/>
      <c r="G91" s="9"/>
      <c r="H91" s="76">
        <f>$C91*$E$77*VLOOKUP($B91,'Standard values'!$C$8:$R$131,6,FALSE)/$E$122</f>
        <v>0.41070129999999994</v>
      </c>
      <c r="I91" s="76">
        <f>$C91*$E$77*VLOOKUP($B91,'Standard values'!$C$8:$R$131,7,FALSE)/$E$122</f>
        <v>0.0010015833333333333</v>
      </c>
      <c r="J91" s="76">
        <f>$C91*$E$77*VLOOKUP($B91,'Standard values'!$C$8:$R$131,8,FALSE)/$E$122</f>
        <v>1.8605555555555555E-05</v>
      </c>
      <c r="K91" s="118">
        <f>H91*'Standard values'!$G$9+I91*'Standard values'!$G$10+J91*'Standard values'!$G$11</f>
        <v>0.43924496111111105</v>
      </c>
      <c r="L91" s="22"/>
      <c r="M91" s="144"/>
      <c r="N91" s="22"/>
    </row>
    <row r="92" spans="1:14" ht="15.75">
      <c r="A92" s="233"/>
      <c r="B92" s="234"/>
      <c r="C92" s="234"/>
      <c r="D92" s="234"/>
      <c r="E92" s="233"/>
      <c r="F92" s="235"/>
      <c r="G92" s="235" t="s">
        <v>60</v>
      </c>
      <c r="H92" s="234"/>
      <c r="I92" s="237" t="s">
        <v>83</v>
      </c>
      <c r="J92" s="240"/>
      <c r="K92" s="239">
        <f>K91</f>
        <v>0.43924496111111105</v>
      </c>
      <c r="L92" s="22"/>
      <c r="M92" s="22"/>
      <c r="N92" s="22"/>
    </row>
    <row r="93" spans="1:14" ht="12.75">
      <c r="A93" s="11"/>
      <c r="B93" s="11"/>
      <c r="C93" s="11"/>
      <c r="D93" s="11"/>
      <c r="E93" s="11"/>
      <c r="F93" s="47"/>
      <c r="G93" s="47"/>
      <c r="H93" s="11"/>
      <c r="I93" s="48"/>
      <c r="J93" s="49"/>
      <c r="K93" s="72"/>
      <c r="L93" s="22"/>
      <c r="M93" s="22"/>
      <c r="N93" s="22"/>
    </row>
    <row r="94" spans="1:14" ht="12.75">
      <c r="A94" s="11"/>
      <c r="B94" s="11"/>
      <c r="C94" s="11"/>
      <c r="D94" s="11"/>
      <c r="E94" s="11"/>
      <c r="F94" s="47"/>
      <c r="G94" s="47"/>
      <c r="H94" s="11"/>
      <c r="I94" s="48"/>
      <c r="J94" s="49"/>
      <c r="K94" s="72"/>
      <c r="L94" s="22"/>
      <c r="M94" s="22"/>
      <c r="N94" s="22"/>
    </row>
    <row r="95" spans="1:14" ht="15.75">
      <c r="A95" s="241" t="s">
        <v>263</v>
      </c>
      <c r="B95" s="256"/>
      <c r="C95" s="257"/>
      <c r="D95" s="242"/>
      <c r="E95" s="258"/>
      <c r="F95" s="242"/>
      <c r="G95" s="242"/>
      <c r="H95" s="242"/>
      <c r="I95" s="242"/>
      <c r="J95" s="242"/>
      <c r="K95" s="259"/>
      <c r="L95" s="22"/>
      <c r="M95" s="22"/>
      <c r="N95" s="22"/>
    </row>
    <row r="96" spans="1:14" ht="15.75">
      <c r="A96" s="92"/>
      <c r="B96" s="21" t="s">
        <v>266</v>
      </c>
      <c r="C96" s="19"/>
      <c r="D96" s="9"/>
      <c r="E96" s="13"/>
      <c r="F96" s="9"/>
      <c r="G96" s="9"/>
      <c r="H96" s="19" t="s">
        <v>274</v>
      </c>
      <c r="I96" s="18"/>
      <c r="J96" s="18"/>
      <c r="K96" s="79"/>
      <c r="L96" s="22"/>
      <c r="M96" s="11"/>
      <c r="N96" s="11"/>
    </row>
    <row r="97" spans="1:14" ht="15.75">
      <c r="A97" s="13"/>
      <c r="B97" s="45"/>
      <c r="C97" s="288">
        <v>0</v>
      </c>
      <c r="D97" s="93" t="s">
        <v>70</v>
      </c>
      <c r="E97" s="13"/>
      <c r="F97" s="9"/>
      <c r="G97" s="9"/>
      <c r="H97" s="9"/>
      <c r="I97" s="9"/>
      <c r="J97" s="76"/>
      <c r="K97" s="118">
        <f>C97</f>
        <v>0</v>
      </c>
      <c r="L97" s="22"/>
      <c r="M97" s="11"/>
      <c r="N97" s="11"/>
    </row>
    <row r="98" spans="1:14" ht="15.75">
      <c r="A98" s="233"/>
      <c r="B98" s="234"/>
      <c r="C98" s="234"/>
      <c r="D98" s="234"/>
      <c r="E98" s="233"/>
      <c r="F98" s="235"/>
      <c r="G98" s="235" t="s">
        <v>60</v>
      </c>
      <c r="H98" s="234"/>
      <c r="I98" s="237" t="s">
        <v>83</v>
      </c>
      <c r="J98" s="240"/>
      <c r="K98" s="239">
        <f>C97</f>
        <v>0</v>
      </c>
      <c r="L98" s="22"/>
      <c r="M98" s="11"/>
      <c r="N98" s="11"/>
    </row>
    <row r="99" spans="1:14" ht="12.75">
      <c r="A99" s="11"/>
      <c r="B99" s="11"/>
      <c r="C99" s="11"/>
      <c r="D99" s="11"/>
      <c r="E99" s="11"/>
      <c r="F99" s="47"/>
      <c r="G99" s="47"/>
      <c r="H99" s="11"/>
      <c r="I99" s="48"/>
      <c r="J99" s="49"/>
      <c r="K99" s="73"/>
      <c r="L99" s="22"/>
      <c r="M99" s="11"/>
      <c r="N99" s="11"/>
    </row>
    <row r="100" spans="1:14" ht="12.75">
      <c r="A100" s="11"/>
      <c r="B100" s="11"/>
      <c r="C100" s="11"/>
      <c r="D100" s="11"/>
      <c r="E100" s="11"/>
      <c r="F100" s="47"/>
      <c r="G100" s="47"/>
      <c r="H100" s="11"/>
      <c r="I100" s="48"/>
      <c r="J100" s="49"/>
      <c r="K100" s="73"/>
      <c r="L100" s="22"/>
      <c r="M100" s="11"/>
      <c r="N100" s="11"/>
    </row>
    <row r="101" spans="1:14" ht="15.75">
      <c r="A101" s="241" t="s">
        <v>264</v>
      </c>
      <c r="B101" s="256"/>
      <c r="C101" s="257"/>
      <c r="D101" s="242"/>
      <c r="E101" s="258"/>
      <c r="F101" s="242"/>
      <c r="G101" s="242"/>
      <c r="H101" s="242"/>
      <c r="I101" s="242"/>
      <c r="J101" s="242"/>
      <c r="K101" s="259"/>
      <c r="L101" s="22"/>
      <c r="M101" s="11"/>
      <c r="N101" s="11"/>
    </row>
    <row r="102" spans="1:14" ht="15.75">
      <c r="A102" s="92"/>
      <c r="B102" s="21" t="s">
        <v>265</v>
      </c>
      <c r="C102" s="19"/>
      <c r="D102" s="95"/>
      <c r="E102" s="13"/>
      <c r="F102" s="9"/>
      <c r="G102" s="9"/>
      <c r="H102" s="19" t="s">
        <v>274</v>
      </c>
      <c r="I102" s="18"/>
      <c r="J102" s="18"/>
      <c r="K102" s="79"/>
      <c r="L102" s="22"/>
      <c r="M102" s="11"/>
      <c r="N102" s="11"/>
    </row>
    <row r="103" spans="1:14" ht="15.75">
      <c r="A103" s="13"/>
      <c r="B103" s="45"/>
      <c r="C103" s="288">
        <v>0</v>
      </c>
      <c r="D103" s="149" t="s">
        <v>70</v>
      </c>
      <c r="E103" s="84"/>
      <c r="F103" s="9"/>
      <c r="G103" s="9"/>
      <c r="H103" s="9"/>
      <c r="I103" s="9"/>
      <c r="J103" s="76"/>
      <c r="K103" s="118">
        <f>C103</f>
        <v>0</v>
      </c>
      <c r="L103" s="22"/>
      <c r="M103" s="11"/>
      <c r="N103" s="11"/>
    </row>
    <row r="104" spans="1:14" ht="15.75">
      <c r="A104" s="233"/>
      <c r="B104" s="234"/>
      <c r="C104" s="234"/>
      <c r="D104" s="234"/>
      <c r="E104" s="233"/>
      <c r="F104" s="235"/>
      <c r="G104" s="235" t="s">
        <v>60</v>
      </c>
      <c r="H104" s="234"/>
      <c r="I104" s="237" t="s">
        <v>83</v>
      </c>
      <c r="J104" s="240"/>
      <c r="K104" s="239">
        <f>C103</f>
        <v>0</v>
      </c>
      <c r="L104" s="22"/>
      <c r="M104" s="11"/>
      <c r="N104" s="11"/>
    </row>
    <row r="105" spans="1:14" ht="12.75">
      <c r="A105" s="11"/>
      <c r="B105" s="11"/>
      <c r="C105" s="11"/>
      <c r="D105" s="11"/>
      <c r="E105" s="11"/>
      <c r="F105" s="47"/>
      <c r="G105" s="47"/>
      <c r="H105" s="11"/>
      <c r="I105" s="48"/>
      <c r="J105" s="49"/>
      <c r="K105" s="73"/>
      <c r="L105" s="22"/>
      <c r="M105" s="11"/>
      <c r="N105" s="11"/>
    </row>
    <row r="106" spans="1:14" ht="12.75">
      <c r="A106" s="11"/>
      <c r="B106" s="11"/>
      <c r="C106" s="11"/>
      <c r="D106" s="11"/>
      <c r="E106" s="11"/>
      <c r="F106" s="47"/>
      <c r="G106" s="47"/>
      <c r="H106" s="11"/>
      <c r="I106" s="48"/>
      <c r="J106" s="49"/>
      <c r="K106" s="73"/>
      <c r="L106" s="22"/>
      <c r="M106" s="11"/>
      <c r="N106" s="11"/>
    </row>
    <row r="107" spans="1:14" ht="19.5">
      <c r="A107" s="241" t="s">
        <v>258</v>
      </c>
      <c r="B107" s="256"/>
      <c r="C107" s="257"/>
      <c r="D107" s="242"/>
      <c r="E107" s="258"/>
      <c r="F107" s="242"/>
      <c r="G107" s="242"/>
      <c r="H107" s="242"/>
      <c r="I107" s="242"/>
      <c r="J107" s="242"/>
      <c r="K107" s="259"/>
      <c r="L107" s="22"/>
      <c r="M107" s="11"/>
      <c r="N107" s="11"/>
    </row>
    <row r="108" spans="1:14" ht="15.75">
      <c r="A108" s="92"/>
      <c r="B108" s="21" t="s">
        <v>256</v>
      </c>
      <c r="C108" s="19"/>
      <c r="D108" s="9"/>
      <c r="E108" s="13"/>
      <c r="F108" s="9"/>
      <c r="G108" s="9"/>
      <c r="H108" s="19" t="s">
        <v>274</v>
      </c>
      <c r="I108" s="18"/>
      <c r="J108" s="18"/>
      <c r="K108" s="79"/>
      <c r="L108" s="22"/>
      <c r="M108" s="11"/>
      <c r="N108" s="11"/>
    </row>
    <row r="109" spans="1:14" ht="15.75">
      <c r="A109" s="13"/>
      <c r="B109" s="45"/>
      <c r="C109" s="288">
        <v>0</v>
      </c>
      <c r="D109" s="93" t="s">
        <v>70</v>
      </c>
      <c r="E109" s="13"/>
      <c r="F109" s="9"/>
      <c r="G109" s="9"/>
      <c r="H109" s="9"/>
      <c r="I109" s="9"/>
      <c r="J109" s="76"/>
      <c r="K109" s="118">
        <f>C109</f>
        <v>0</v>
      </c>
      <c r="L109" s="22"/>
      <c r="M109" s="11"/>
      <c r="N109" s="11"/>
    </row>
    <row r="110" spans="1:14" ht="15.75">
      <c r="A110" s="233"/>
      <c r="B110" s="234"/>
      <c r="C110" s="304"/>
      <c r="D110" s="234"/>
      <c r="E110" s="233"/>
      <c r="F110" s="235"/>
      <c r="G110" s="235" t="s">
        <v>60</v>
      </c>
      <c r="H110" s="234"/>
      <c r="I110" s="237" t="s">
        <v>83</v>
      </c>
      <c r="J110" s="240"/>
      <c r="K110" s="239">
        <f>C109</f>
        <v>0</v>
      </c>
      <c r="L110" s="22"/>
      <c r="M110" s="11"/>
      <c r="N110" s="11"/>
    </row>
    <row r="111" spans="1:14" ht="12.75">
      <c r="A111" s="11"/>
      <c r="B111" s="11"/>
      <c r="C111" s="11"/>
      <c r="D111" s="11"/>
      <c r="E111" s="11"/>
      <c r="F111" s="47"/>
      <c r="G111" s="47"/>
      <c r="H111" s="11"/>
      <c r="I111" s="48"/>
      <c r="J111" s="49"/>
      <c r="K111" s="73"/>
      <c r="L111" s="22"/>
      <c r="M111" s="11"/>
      <c r="N111" s="11"/>
    </row>
    <row r="112" spans="1:14" ht="12.75">
      <c r="A112" s="11"/>
      <c r="B112" s="11"/>
      <c r="C112" s="11"/>
      <c r="D112" s="11"/>
      <c r="E112" s="11"/>
      <c r="F112" s="47"/>
      <c r="G112" s="47"/>
      <c r="H112" s="11"/>
      <c r="I112" s="48"/>
      <c r="J112" s="49"/>
      <c r="K112" s="73"/>
      <c r="L112" s="22"/>
      <c r="M112" s="11"/>
      <c r="N112" s="11"/>
    </row>
    <row r="113" spans="1:14" ht="19.5">
      <c r="A113" s="241" t="s">
        <v>259</v>
      </c>
      <c r="B113" s="256"/>
      <c r="C113" s="257"/>
      <c r="D113" s="242"/>
      <c r="E113" s="258"/>
      <c r="F113" s="242"/>
      <c r="G113" s="242"/>
      <c r="H113" s="242"/>
      <c r="I113" s="242"/>
      <c r="J113" s="242"/>
      <c r="K113" s="259"/>
      <c r="L113" s="22"/>
      <c r="M113" s="11"/>
      <c r="N113" s="11"/>
    </row>
    <row r="114" spans="1:14" ht="15.75">
      <c r="A114" s="92"/>
      <c r="B114" s="21" t="s">
        <v>257</v>
      </c>
      <c r="C114" s="19"/>
      <c r="D114" s="9"/>
      <c r="E114" s="13"/>
      <c r="F114" s="9"/>
      <c r="G114" s="9"/>
      <c r="H114" s="19" t="s">
        <v>274</v>
      </c>
      <c r="I114" s="18"/>
      <c r="J114" s="18"/>
      <c r="K114" s="79"/>
      <c r="L114" s="22"/>
      <c r="M114" s="11"/>
      <c r="N114" s="11"/>
    </row>
    <row r="115" spans="1:14" ht="15.75">
      <c r="A115" s="13"/>
      <c r="B115" s="45"/>
      <c r="C115" s="288">
        <v>0</v>
      </c>
      <c r="D115" s="93" t="s">
        <v>70</v>
      </c>
      <c r="E115" s="13"/>
      <c r="F115" s="9"/>
      <c r="G115" s="9"/>
      <c r="H115" s="9"/>
      <c r="I115" s="9"/>
      <c r="J115" s="76"/>
      <c r="K115" s="118">
        <f>C115</f>
        <v>0</v>
      </c>
      <c r="L115" s="22"/>
      <c r="M115" s="11"/>
      <c r="N115" s="11"/>
    </row>
    <row r="116" spans="1:14" ht="15.75">
      <c r="A116" s="233"/>
      <c r="B116" s="234"/>
      <c r="C116" s="234"/>
      <c r="D116" s="234"/>
      <c r="E116" s="233"/>
      <c r="F116" s="235"/>
      <c r="G116" s="235" t="s">
        <v>60</v>
      </c>
      <c r="H116" s="234"/>
      <c r="I116" s="237" t="s">
        <v>83</v>
      </c>
      <c r="J116" s="240"/>
      <c r="K116" s="239">
        <f>C115</f>
        <v>0</v>
      </c>
      <c r="L116" s="22"/>
      <c r="M116" s="11"/>
      <c r="N116" s="11"/>
    </row>
    <row r="117" spans="1:14" ht="12.75">
      <c r="A117" s="11"/>
      <c r="B117" s="11"/>
      <c r="C117" s="11"/>
      <c r="D117" s="11"/>
      <c r="E117" s="11"/>
      <c r="F117" s="47"/>
      <c r="G117" s="47"/>
      <c r="H117" s="11"/>
      <c r="I117" s="48"/>
      <c r="J117" s="49"/>
      <c r="K117" s="73"/>
      <c r="L117" s="22"/>
      <c r="M117" s="11"/>
      <c r="N117" s="11"/>
    </row>
    <row r="118" spans="1:14" ht="12.75">
      <c r="A118" s="11"/>
      <c r="B118" s="11"/>
      <c r="C118" s="11"/>
      <c r="D118" s="11"/>
      <c r="E118" s="11"/>
      <c r="F118" s="47"/>
      <c r="G118" s="47"/>
      <c r="H118" s="11"/>
      <c r="I118" s="48"/>
      <c r="J118" s="49"/>
      <c r="K118" s="73"/>
      <c r="L118" s="22"/>
      <c r="M118" s="11"/>
      <c r="N118" s="11"/>
    </row>
    <row r="119" spans="1:14" ht="15.75">
      <c r="A119" s="241" t="s">
        <v>96</v>
      </c>
      <c r="B119" s="242"/>
      <c r="C119" s="242"/>
      <c r="D119" s="242"/>
      <c r="E119" s="243" t="s">
        <v>37</v>
      </c>
      <c r="F119" s="248"/>
      <c r="G119" s="248"/>
      <c r="H119" s="249"/>
      <c r="I119" s="247" t="s">
        <v>83</v>
      </c>
      <c r="J119" s="249"/>
      <c r="K119" s="250">
        <f>K72+K84+K92+K98</f>
        <v>40.05063059764701</v>
      </c>
      <c r="L119" s="22"/>
      <c r="M119" s="11"/>
      <c r="N119" s="11"/>
    </row>
    <row r="120" spans="1:14" ht="15.75">
      <c r="A120" s="251"/>
      <c r="B120" s="252"/>
      <c r="C120" s="252"/>
      <c r="D120" s="252"/>
      <c r="E120" s="253"/>
      <c r="F120" s="253"/>
      <c r="G120" s="253"/>
      <c r="H120" s="253"/>
      <c r="I120" s="253"/>
      <c r="J120" s="253"/>
      <c r="K120" s="254"/>
      <c r="L120" s="22"/>
      <c r="M120" s="11"/>
      <c r="N120" s="11"/>
    </row>
    <row r="121" spans="1:14" ht="15.75">
      <c r="A121" s="13"/>
      <c r="B121" s="9"/>
      <c r="C121" s="9"/>
      <c r="D121" s="23" t="s">
        <v>59</v>
      </c>
      <c r="E121" s="94">
        <f>E21*C44*C55*C76</f>
        <v>152544.12688334828</v>
      </c>
      <c r="F121" s="9" t="s">
        <v>63</v>
      </c>
      <c r="G121" s="9"/>
      <c r="H121" s="9"/>
      <c r="I121" s="9"/>
      <c r="J121" s="9"/>
      <c r="K121" s="95"/>
      <c r="L121" s="22"/>
      <c r="M121" s="11"/>
      <c r="N121" s="11"/>
    </row>
    <row r="122" spans="1:14" ht="15.75">
      <c r="A122" s="13"/>
      <c r="B122" s="9"/>
      <c r="C122" s="9"/>
      <c r="D122" s="23" t="s">
        <v>69</v>
      </c>
      <c r="E122" s="96">
        <f>E121/E21</f>
        <v>0.5436259853220984</v>
      </c>
      <c r="F122" s="9" t="s">
        <v>392</v>
      </c>
      <c r="G122" s="9"/>
      <c r="H122" s="76"/>
      <c r="I122" s="9"/>
      <c r="J122" s="9"/>
      <c r="K122" s="95"/>
      <c r="L122" s="22"/>
      <c r="M122" s="11"/>
      <c r="N122" s="11"/>
    </row>
    <row r="123" spans="1:14" ht="12.75">
      <c r="A123" s="13"/>
      <c r="B123" s="9"/>
      <c r="C123" s="9"/>
      <c r="D123" s="9"/>
      <c r="E123" s="9"/>
      <c r="F123" s="77"/>
      <c r="G123" s="9"/>
      <c r="H123" s="76"/>
      <c r="I123" s="9"/>
      <c r="J123" s="9"/>
      <c r="K123" s="95"/>
      <c r="L123" s="22"/>
      <c r="M123" s="11"/>
      <c r="N123" s="11"/>
    </row>
    <row r="124" spans="1:14" ht="12.75">
      <c r="A124" s="13"/>
      <c r="B124" s="9"/>
      <c r="C124" s="9"/>
      <c r="D124" s="9"/>
      <c r="E124" s="9"/>
      <c r="F124" s="77"/>
      <c r="G124" s="9"/>
      <c r="H124" s="9"/>
      <c r="I124" s="9"/>
      <c r="J124" s="9"/>
      <c r="K124" s="95"/>
      <c r="L124" s="22"/>
      <c r="M124" s="11"/>
      <c r="N124" s="11"/>
    </row>
    <row r="125" spans="1:14" ht="15.75">
      <c r="A125" s="272"/>
      <c r="B125" s="273"/>
      <c r="C125" s="273"/>
      <c r="D125" s="273"/>
      <c r="E125" s="293" t="s">
        <v>95</v>
      </c>
      <c r="F125" s="294"/>
      <c r="G125" s="295"/>
      <c r="H125" s="295"/>
      <c r="I125" s="293" t="s">
        <v>395</v>
      </c>
      <c r="J125" s="295"/>
      <c r="K125" s="296">
        <f>K40+K50+K63+K84+K92+K98-K104-K110-K116</f>
        <v>55.55308562280501</v>
      </c>
      <c r="L125" s="22"/>
      <c r="M125" s="11"/>
      <c r="N125" s="11"/>
    </row>
    <row r="126" spans="1:14" ht="15.75">
      <c r="A126" s="275"/>
      <c r="B126" s="276"/>
      <c r="C126" s="274"/>
      <c r="D126" s="273"/>
      <c r="E126" s="293" t="s">
        <v>97</v>
      </c>
      <c r="F126" s="295"/>
      <c r="G126" s="295"/>
      <c r="H126" s="295"/>
      <c r="I126" s="293" t="s">
        <v>395</v>
      </c>
      <c r="J126" s="295"/>
      <c r="K126" s="297">
        <f>K72+K84+K92+K98-K104-K110-K116</f>
        <v>40.05063059764701</v>
      </c>
      <c r="L126" s="22"/>
      <c r="M126" s="11"/>
      <c r="N126" s="11"/>
    </row>
    <row r="127" spans="1:14" ht="12.75">
      <c r="A127" s="272"/>
      <c r="B127" s="273"/>
      <c r="C127" s="273"/>
      <c r="D127" s="273"/>
      <c r="E127" s="295"/>
      <c r="F127" s="295"/>
      <c r="G127" s="295"/>
      <c r="H127" s="295"/>
      <c r="I127" s="295"/>
      <c r="J127" s="295"/>
      <c r="K127" s="298"/>
      <c r="L127" s="22"/>
      <c r="M127" s="11"/>
      <c r="N127" s="11"/>
    </row>
    <row r="128" spans="1:14" ht="12.75">
      <c r="A128" s="277"/>
      <c r="B128" s="278"/>
      <c r="C128" s="278"/>
      <c r="D128" s="278"/>
      <c r="E128" s="299" t="s">
        <v>98</v>
      </c>
      <c r="F128" s="270"/>
      <c r="G128" s="270"/>
      <c r="H128" s="270"/>
      <c r="I128" s="270"/>
      <c r="J128" s="270"/>
      <c r="K128" s="271">
        <f>(83.8-K126)/83.8</f>
        <v>0.5220688472834486</v>
      </c>
      <c r="L128" s="22"/>
      <c r="M128" s="11"/>
      <c r="N128" s="11"/>
    </row>
    <row r="129" ht="12.75">
      <c r="L129" s="3"/>
    </row>
    <row r="130" spans="5:12" ht="12.75">
      <c r="E130" s="2"/>
      <c r="F130" s="2"/>
      <c r="G130" s="4"/>
      <c r="H130" s="2"/>
      <c r="I130" s="2"/>
      <c r="J130" s="2"/>
      <c r="K130" s="8"/>
      <c r="L130" s="3"/>
    </row>
    <row r="131" spans="6:13" ht="12.75">
      <c r="F131" s="2"/>
      <c r="G131" s="2"/>
      <c r="H131" s="74"/>
      <c r="I131" s="2"/>
      <c r="J131" s="2"/>
      <c r="K131" s="75"/>
      <c r="L131" s="36"/>
      <c r="M131" s="3"/>
    </row>
    <row r="132" spans="6:13" ht="12.75">
      <c r="F132" s="2"/>
      <c r="G132" s="2"/>
      <c r="H132" s="74"/>
      <c r="I132" s="2"/>
      <c r="J132" s="2"/>
      <c r="K132" s="75"/>
      <c r="L132" s="36"/>
      <c r="M132" s="3"/>
    </row>
    <row r="133" spans="6:13" ht="15.75">
      <c r="F133" s="37"/>
      <c r="G133" s="2"/>
      <c r="H133" s="2"/>
      <c r="I133" s="2"/>
      <c r="J133" s="2"/>
      <c r="K133" s="2"/>
      <c r="L133" s="2"/>
      <c r="M133" s="3"/>
    </row>
    <row r="134" spans="6:13" ht="12.75">
      <c r="F134" s="2"/>
      <c r="G134" s="74"/>
      <c r="H134" s="2"/>
      <c r="I134" s="2"/>
      <c r="J134" s="2"/>
      <c r="K134" s="2"/>
      <c r="L134" s="2"/>
      <c r="M134" s="2"/>
    </row>
    <row r="135" spans="6:13" ht="12.75">
      <c r="F135" s="74"/>
      <c r="G135" s="2"/>
      <c r="H135" s="25"/>
      <c r="I135" s="2"/>
      <c r="J135" s="2"/>
      <c r="K135" s="2"/>
      <c r="L135" s="2"/>
      <c r="M135" s="2"/>
    </row>
    <row r="136" spans="6:13" ht="12.75">
      <c r="F136" s="74"/>
      <c r="G136" s="2"/>
      <c r="H136" s="25"/>
      <c r="I136" s="2"/>
      <c r="J136" s="2"/>
      <c r="K136" s="2"/>
      <c r="L136" s="2"/>
      <c r="M136" s="2"/>
    </row>
    <row r="137" spans="6:13" ht="12.75">
      <c r="F137" s="2"/>
      <c r="G137" s="36"/>
      <c r="H137" s="2"/>
      <c r="I137" s="2"/>
      <c r="J137" s="2"/>
      <c r="K137" s="2"/>
      <c r="L137" s="2"/>
      <c r="M137" s="2"/>
    </row>
    <row r="138" spans="6:13" ht="12.75">
      <c r="F138" s="2"/>
      <c r="G138" s="2"/>
      <c r="H138" s="2"/>
      <c r="I138" s="2"/>
      <c r="J138" s="2"/>
      <c r="K138" s="2"/>
      <c r="L138" s="2"/>
      <c r="M138" s="2"/>
    </row>
    <row r="139" spans="6:13" ht="12.75">
      <c r="F139" s="2"/>
      <c r="G139" s="2"/>
      <c r="H139" s="2"/>
      <c r="I139" s="2"/>
      <c r="J139" s="2"/>
      <c r="K139" s="2"/>
      <c r="L139" s="2"/>
      <c r="M139" s="2"/>
    </row>
    <row r="140" spans="6:13" ht="12.75">
      <c r="F140" s="2"/>
      <c r="G140" s="2"/>
      <c r="H140" s="2"/>
      <c r="I140" s="2"/>
      <c r="J140" s="2"/>
      <c r="K140" s="2"/>
      <c r="L140" s="2"/>
      <c r="M140" s="2"/>
    </row>
    <row r="141" spans="6:13" ht="12.75">
      <c r="F141" s="2"/>
      <c r="G141" s="2"/>
      <c r="H141" s="2"/>
      <c r="I141" s="2"/>
      <c r="J141" s="2"/>
      <c r="K141" s="2"/>
      <c r="L141" s="2"/>
      <c r="M141" s="2"/>
    </row>
    <row r="142" spans="6:13" ht="12.75">
      <c r="F142" s="2"/>
      <c r="G142" s="2"/>
      <c r="H142" s="2"/>
      <c r="I142" s="2"/>
      <c r="J142" s="2"/>
      <c r="K142" s="2"/>
      <c r="L142" s="2"/>
      <c r="M142" s="2"/>
    </row>
    <row r="143" spans="6:13" ht="12.75">
      <c r="F143" s="2"/>
      <c r="G143" s="2"/>
      <c r="H143" s="2"/>
      <c r="I143" s="2"/>
      <c r="J143" s="2"/>
      <c r="K143" s="2"/>
      <c r="L143" s="2"/>
      <c r="M143" s="2"/>
    </row>
    <row r="144" spans="6:13" ht="12.75">
      <c r="F144" s="2"/>
      <c r="G144" s="2"/>
      <c r="H144" s="2"/>
      <c r="I144" s="2"/>
      <c r="J144" s="2"/>
      <c r="K144" s="2"/>
      <c r="L144" s="2"/>
      <c r="M144" s="2"/>
    </row>
    <row r="145" spans="6:13" ht="12.75">
      <c r="F145" s="2"/>
      <c r="G145" s="2"/>
      <c r="H145" s="2"/>
      <c r="I145" s="2"/>
      <c r="J145" s="2"/>
      <c r="K145" s="2"/>
      <c r="L145" s="2"/>
      <c r="M145" s="2"/>
    </row>
    <row r="146" spans="6:13" ht="12.75">
      <c r="F146" s="2"/>
      <c r="G146" s="2"/>
      <c r="H146" s="2"/>
      <c r="I146" s="2"/>
      <c r="J146" s="2"/>
      <c r="K146" s="2"/>
      <c r="L146" s="2"/>
      <c r="M146" s="2"/>
    </row>
    <row r="147" spans="6:13" ht="12.75">
      <c r="F147" s="2"/>
      <c r="G147" s="2"/>
      <c r="H147" s="2"/>
      <c r="I147" s="2"/>
      <c r="J147" s="2"/>
      <c r="K147" s="2"/>
      <c r="L147" s="2"/>
      <c r="M147" s="2"/>
    </row>
    <row r="148" spans="6:13" ht="12.75">
      <c r="F148" s="2"/>
      <c r="G148" s="2"/>
      <c r="H148" s="2"/>
      <c r="I148" s="2"/>
      <c r="J148" s="2"/>
      <c r="K148" s="2"/>
      <c r="L148" s="2"/>
      <c r="M148" s="2"/>
    </row>
    <row r="149" spans="6:13" ht="12.75">
      <c r="F149" s="2"/>
      <c r="G149" s="2"/>
      <c r="H149" s="2"/>
      <c r="I149" s="2"/>
      <c r="J149" s="2"/>
      <c r="K149" s="2"/>
      <c r="L149" s="2"/>
      <c r="M149" s="2"/>
    </row>
  </sheetData>
  <sheetProtection/>
  <conditionalFormatting sqref="N9:N17">
    <cfRule type="cellIs" priority="1" dxfId="4" operator="notBetween" stopIfTrue="1">
      <formula>-0.05</formula>
      <formula>0.05</formula>
    </cfRule>
  </conditionalFormatting>
  <printOptions/>
  <pageMargins left="0.75" right="0.75" top="1" bottom="1" header="0.5" footer="0.5"/>
  <pageSetup fitToHeight="0" fitToWidth="1" horizontalDpi="600" verticalDpi="600" orientation="landscape" paperSize="8"/>
  <headerFooter alignWithMargins="0">
    <oddFooter>&amp;L&amp;8&amp;F&amp;C&amp;8&amp;A&amp;R&amp;8page&amp;P</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Blad7">
    <pageSetUpPr fitToPage="1"/>
  </sheetPr>
  <dimension ref="A2:W211"/>
  <sheetViews>
    <sheetView zoomScale="80" zoomScaleNormal="80" workbookViewId="0" topLeftCell="A1">
      <pane ySplit="21" topLeftCell="BM22" activePane="bottomLeft" state="frozen"/>
      <selection pane="topLeft" activeCell="F31" sqref="F31"/>
      <selection pane="bottomLeft" activeCell="A1" sqref="A1"/>
    </sheetView>
  </sheetViews>
  <sheetFormatPr defaultColWidth="8.8515625" defaultRowHeight="12.75"/>
  <cols>
    <col min="1" max="1" width="22.57421875" style="0" customWidth="1"/>
    <col min="2" max="2" width="25.8515625" style="0" customWidth="1"/>
    <col min="3" max="3" width="9.7109375" style="0" customWidth="1"/>
    <col min="4" max="4" width="20.140625" style="0" customWidth="1"/>
    <col min="5" max="5" width="14.8515625" style="0" customWidth="1"/>
    <col min="6" max="6" width="11.421875" style="0" customWidth="1"/>
    <col min="7" max="7" width="19.57421875" style="0" customWidth="1"/>
    <col min="8" max="11" width="9.140625" style="0" customWidth="1"/>
    <col min="12" max="12" width="2.57421875" style="0" customWidth="1"/>
    <col min="13" max="13" width="17.57421875" style="0" customWidth="1"/>
    <col min="14" max="14" width="13.7109375" style="0" customWidth="1"/>
    <col min="15" max="22" width="9.140625" style="0" customWidth="1"/>
    <col min="23" max="16384" width="8.8515625" style="2" customWidth="1"/>
  </cols>
  <sheetData>
    <row r="1" ht="102" customHeight="1"/>
    <row r="2" spans="1:14" ht="27.75" customHeight="1">
      <c r="A2" s="636" t="s">
        <v>504</v>
      </c>
      <c r="B2" s="174"/>
      <c r="C2" s="175"/>
      <c r="D2" s="175"/>
      <c r="E2" s="175"/>
      <c r="F2" s="176"/>
      <c r="G2" s="177"/>
      <c r="H2" s="178"/>
      <c r="I2" s="179"/>
      <c r="J2" s="180"/>
      <c r="K2" s="181"/>
      <c r="L2" s="178"/>
      <c r="M2" s="178"/>
      <c r="N2" s="182" t="str">
        <f>About!D2</f>
        <v>Version 1 - Public</v>
      </c>
    </row>
    <row r="3" spans="1:22" ht="27.75" customHeight="1">
      <c r="A3" s="119" t="s">
        <v>85</v>
      </c>
      <c r="B3" s="121"/>
      <c r="C3" s="122"/>
      <c r="D3" s="122"/>
      <c r="E3" s="121"/>
      <c r="F3" s="121"/>
      <c r="G3" s="46"/>
      <c r="H3" s="47"/>
      <c r="I3" s="123"/>
      <c r="J3" s="56"/>
      <c r="K3" s="123"/>
      <c r="L3" s="123"/>
      <c r="M3" s="22"/>
      <c r="N3" s="56"/>
      <c r="O3" s="2"/>
      <c r="P3" s="2"/>
      <c r="Q3" s="2"/>
      <c r="R3" s="2"/>
      <c r="S3" s="2"/>
      <c r="T3" s="2"/>
      <c r="U3" s="2"/>
      <c r="V3" s="2"/>
    </row>
    <row r="4" spans="1:22" ht="16.5" customHeight="1">
      <c r="A4" s="192" t="s">
        <v>368</v>
      </c>
      <c r="B4" s="183" t="s">
        <v>367</v>
      </c>
      <c r="C4" s="183" t="s">
        <v>92</v>
      </c>
      <c r="D4" s="183" t="s">
        <v>365</v>
      </c>
      <c r="E4" s="184" t="s">
        <v>82</v>
      </c>
      <c r="F4" s="61"/>
      <c r="G4" s="187" t="s">
        <v>376</v>
      </c>
      <c r="H4" s="60"/>
      <c r="I4" s="189" t="s">
        <v>104</v>
      </c>
      <c r="J4" s="190"/>
      <c r="K4" s="191"/>
      <c r="L4" s="11"/>
      <c r="M4" s="189" t="s">
        <v>428</v>
      </c>
      <c r="N4" s="624"/>
      <c r="O4" s="2"/>
      <c r="P4" s="2"/>
      <c r="Q4" s="2"/>
      <c r="R4" s="2"/>
      <c r="S4" s="2"/>
      <c r="T4" s="2"/>
      <c r="U4" s="2"/>
      <c r="V4" s="2"/>
    </row>
    <row r="5" spans="1:22" ht="16.5" customHeight="1">
      <c r="A5" s="477" t="s">
        <v>369</v>
      </c>
      <c r="B5" s="185" t="s">
        <v>366</v>
      </c>
      <c r="C5" s="185" t="s">
        <v>99</v>
      </c>
      <c r="D5" s="185" t="s">
        <v>366</v>
      </c>
      <c r="E5" s="186"/>
      <c r="F5" s="62"/>
      <c r="G5" s="188" t="s">
        <v>373</v>
      </c>
      <c r="H5" s="11"/>
      <c r="I5" s="199" t="str">
        <f>A68</f>
        <v>Extraction of oil</v>
      </c>
      <c r="J5" s="200"/>
      <c r="K5" s="201"/>
      <c r="L5" s="11"/>
      <c r="M5" s="199" t="s">
        <v>432</v>
      </c>
      <c r="N5" s="201"/>
      <c r="O5" s="2"/>
      <c r="P5" s="2"/>
      <c r="Q5" s="2"/>
      <c r="R5" s="2"/>
      <c r="S5" s="2"/>
      <c r="T5" s="2"/>
      <c r="U5" s="2"/>
      <c r="V5" s="2"/>
    </row>
    <row r="6" spans="1:22" ht="16.5" customHeight="1">
      <c r="A6" s="193" t="s">
        <v>260</v>
      </c>
      <c r="B6" s="194"/>
      <c r="C6" s="195"/>
      <c r="D6" s="196"/>
      <c r="E6" s="197">
        <f>D7+D8</f>
        <v>28.749579808906017</v>
      </c>
      <c r="F6" s="63"/>
      <c r="G6" s="198">
        <v>29</v>
      </c>
      <c r="H6" s="11"/>
      <c r="I6" s="150">
        <f>F87/F89</f>
        <v>0.612502100487313</v>
      </c>
      <c r="J6" s="151" t="s">
        <v>333</v>
      </c>
      <c r="K6" s="152"/>
      <c r="L6" s="11"/>
      <c r="M6" s="623">
        <v>83.8</v>
      </c>
      <c r="N6" s="625" t="s">
        <v>431</v>
      </c>
      <c r="O6" s="2"/>
      <c r="P6" s="2"/>
      <c r="Q6" s="2"/>
      <c r="R6" s="2"/>
      <c r="S6" s="2"/>
      <c r="T6" s="2"/>
      <c r="U6" s="2"/>
      <c r="V6" s="2"/>
    </row>
    <row r="7" spans="1:22" ht="12" customHeight="1">
      <c r="A7" s="199" t="str">
        <f>A22</f>
        <v>Cultivation of rapeseed</v>
      </c>
      <c r="B7" s="99">
        <f>K44</f>
        <v>48.35473738276795</v>
      </c>
      <c r="C7" s="100">
        <f>I6*I9</f>
        <v>0.5858912958253117</v>
      </c>
      <c r="D7" s="21">
        <f>C7*B7</f>
        <v>28.330619744482558</v>
      </c>
      <c r="E7" s="145"/>
      <c r="F7" s="64"/>
      <c r="G7" s="91">
        <f>28.51</f>
        <v>28.51</v>
      </c>
      <c r="H7" s="11"/>
      <c r="I7" s="156">
        <f>1-I6</f>
        <v>0.387497899512687</v>
      </c>
      <c r="J7" s="157" t="s">
        <v>334</v>
      </c>
      <c r="K7" s="152"/>
      <c r="L7" s="11"/>
      <c r="M7" s="199" t="s">
        <v>430</v>
      </c>
      <c r="N7" s="201"/>
      <c r="O7" s="24"/>
      <c r="P7" s="24"/>
      <c r="Q7" s="2"/>
      <c r="R7" s="2"/>
      <c r="S7" s="2"/>
      <c r="T7" s="2"/>
      <c r="U7" s="2"/>
      <c r="V7" s="2"/>
    </row>
    <row r="8" spans="1:22" ht="12" customHeight="1">
      <c r="A8" s="199" t="str">
        <f>A47</f>
        <v>Rapeseed drying</v>
      </c>
      <c r="B8" s="99">
        <f>K55</f>
        <v>0.7150815644620432</v>
      </c>
      <c r="C8" s="100">
        <f>I6*I9</f>
        <v>0.5858912958253117</v>
      </c>
      <c r="D8" s="21">
        <f>C8*B8</f>
        <v>0.4189600644234577</v>
      </c>
      <c r="E8" s="101"/>
      <c r="F8" s="64"/>
      <c r="G8" s="91">
        <f>0.42</f>
        <v>0.42</v>
      </c>
      <c r="H8" s="11"/>
      <c r="I8" s="199" t="str">
        <f>A108</f>
        <v>Esterification</v>
      </c>
      <c r="J8" s="200"/>
      <c r="K8" s="201"/>
      <c r="L8" s="11"/>
      <c r="M8" s="629">
        <f>(M6-E19)/M6</f>
        <v>0.3824861669823245</v>
      </c>
      <c r="N8" s="626"/>
      <c r="O8" s="24"/>
      <c r="P8" s="24"/>
      <c r="Q8" s="2"/>
      <c r="R8" s="2"/>
      <c r="S8" s="2"/>
      <c r="T8" s="2"/>
      <c r="U8" s="2"/>
      <c r="V8" s="2"/>
    </row>
    <row r="9" spans="1:23" ht="16.5" customHeight="1">
      <c r="A9" s="193" t="s">
        <v>261</v>
      </c>
      <c r="B9" s="204"/>
      <c r="C9" s="204"/>
      <c r="D9" s="205"/>
      <c r="E9" s="197">
        <f>D10+D11+D12</f>
        <v>21.563613534707805</v>
      </c>
      <c r="F9" s="63"/>
      <c r="G9" s="198">
        <v>22</v>
      </c>
      <c r="H9" s="11"/>
      <c r="I9" s="150">
        <f>F131/F133</f>
        <v>0.9565539372994323</v>
      </c>
      <c r="J9" s="151" t="s">
        <v>335</v>
      </c>
      <c r="K9" s="152"/>
      <c r="L9" s="11"/>
      <c r="M9" s="11"/>
      <c r="N9" s="55"/>
      <c r="O9" s="3"/>
      <c r="P9" s="3"/>
      <c r="Q9" s="3"/>
      <c r="R9" s="3"/>
      <c r="S9" s="3"/>
      <c r="T9" s="3"/>
      <c r="U9" s="3"/>
      <c r="V9" s="3"/>
      <c r="W9" s="3"/>
    </row>
    <row r="10" spans="1:23" ht="12" customHeight="1">
      <c r="A10" s="199" t="str">
        <f>A68</f>
        <v>Extraction of oil</v>
      </c>
      <c r="B10" s="99">
        <f>K81</f>
        <v>6.495157009266988</v>
      </c>
      <c r="C10" s="100">
        <f>I6*I9</f>
        <v>0.5858912958253117</v>
      </c>
      <c r="D10" s="21">
        <f>C10*B10</f>
        <v>3.805455956748292</v>
      </c>
      <c r="E10" s="145"/>
      <c r="F10" s="64"/>
      <c r="G10" s="91">
        <f>1.4*2.73</f>
        <v>3.8219999999999996</v>
      </c>
      <c r="H10" s="11"/>
      <c r="I10" s="153">
        <f>1-I9</f>
        <v>0.04344606270056772</v>
      </c>
      <c r="J10" s="154" t="s">
        <v>337</v>
      </c>
      <c r="K10" s="155"/>
      <c r="L10" s="11"/>
      <c r="M10" s="11"/>
      <c r="N10" s="612"/>
      <c r="O10" s="161"/>
      <c r="P10" s="3"/>
      <c r="Q10" s="3"/>
      <c r="R10" s="3"/>
      <c r="S10" s="3"/>
      <c r="T10" s="3"/>
      <c r="U10" s="3"/>
      <c r="V10" s="3"/>
      <c r="W10" s="3"/>
    </row>
    <row r="11" spans="1:23" ht="12" customHeight="1">
      <c r="A11" s="199" t="str">
        <f>A93</f>
        <v>Refining of vegetable oil</v>
      </c>
      <c r="B11" s="99">
        <f>K105</f>
        <v>1.058973497629523</v>
      </c>
      <c r="C11" s="100">
        <f>I9</f>
        <v>0.9565539372994323</v>
      </c>
      <c r="D11" s="21">
        <f>C11*B11</f>
        <v>1.0129652686532713</v>
      </c>
      <c r="E11" s="145"/>
      <c r="F11" s="64"/>
      <c r="G11" s="670">
        <f>1.4*12.77</f>
        <v>17.877999999999997</v>
      </c>
      <c r="H11" s="11"/>
      <c r="I11" s="11"/>
      <c r="J11" s="11"/>
      <c r="K11" s="11"/>
      <c r="L11" s="11"/>
      <c r="M11" s="11"/>
      <c r="N11" s="669"/>
      <c r="O11" s="162"/>
      <c r="P11" s="3"/>
      <c r="Q11" s="3"/>
      <c r="R11" s="3"/>
      <c r="S11" s="3"/>
      <c r="T11" s="3"/>
      <c r="U11" s="3"/>
      <c r="V11" s="3"/>
      <c r="W11" s="3"/>
    </row>
    <row r="12" spans="1:23" ht="12" customHeight="1">
      <c r="A12" s="199" t="str">
        <f>A108</f>
        <v>Esterification</v>
      </c>
      <c r="B12" s="99">
        <f>K125</f>
        <v>17.505748140645057</v>
      </c>
      <c r="C12" s="100">
        <f>I9</f>
        <v>0.9565539372994323</v>
      </c>
      <c r="D12" s="21">
        <f>C12*B12</f>
        <v>16.745192309306244</v>
      </c>
      <c r="E12" s="145"/>
      <c r="F12" s="64"/>
      <c r="G12" s="671"/>
      <c r="H12" s="11"/>
      <c r="I12" s="11"/>
      <c r="J12" s="11"/>
      <c r="K12" s="11"/>
      <c r="L12" s="11"/>
      <c r="M12" s="11"/>
      <c r="N12" s="669"/>
      <c r="O12" s="163"/>
      <c r="P12" s="3"/>
      <c r="Q12" s="3"/>
      <c r="R12" s="3"/>
      <c r="S12" s="3"/>
      <c r="T12" s="3"/>
      <c r="U12" s="3"/>
      <c r="V12" s="3"/>
      <c r="W12" s="3"/>
    </row>
    <row r="13" spans="1:23" ht="16.5" customHeight="1" thickBot="1">
      <c r="A13" s="193" t="s">
        <v>262</v>
      </c>
      <c r="B13" s="204"/>
      <c r="C13" s="204"/>
      <c r="D13" s="205"/>
      <c r="E13" s="197">
        <f>D14+D15+D16</f>
        <v>1.4344658632673857</v>
      </c>
      <c r="F13" s="63"/>
      <c r="G13" s="325">
        <v>1</v>
      </c>
      <c r="H13" s="11"/>
      <c r="I13" s="11"/>
      <c r="J13" s="11"/>
      <c r="K13" s="11"/>
      <c r="L13" s="11"/>
      <c r="M13" s="11"/>
      <c r="N13" s="55"/>
      <c r="O13" s="164"/>
      <c r="P13" s="165"/>
      <c r="Q13" s="3"/>
      <c r="R13" s="3"/>
      <c r="S13" s="3"/>
      <c r="T13" s="3"/>
      <c r="U13" s="3"/>
      <c r="V13" s="160"/>
      <c r="W13" s="3"/>
    </row>
    <row r="14" spans="1:23" ht="12" customHeight="1">
      <c r="A14" s="199" t="str">
        <f>A58</f>
        <v>Transport of rapeseed</v>
      </c>
      <c r="B14" s="99">
        <f>K65</f>
        <v>0.29588216425915276</v>
      </c>
      <c r="C14" s="100">
        <f>I6*I9</f>
        <v>0.5858912958253117</v>
      </c>
      <c r="D14" s="21">
        <f>C14*B14</f>
        <v>0.17335478462939274</v>
      </c>
      <c r="E14" s="101"/>
      <c r="F14" s="64"/>
      <c r="G14" s="91">
        <f>0.17</f>
        <v>0.17</v>
      </c>
      <c r="H14" s="11"/>
      <c r="I14" s="137" t="s">
        <v>276</v>
      </c>
      <c r="J14" s="138"/>
      <c r="K14" s="138"/>
      <c r="L14" s="138"/>
      <c r="M14" s="615"/>
      <c r="N14" s="612"/>
      <c r="O14" s="162"/>
      <c r="P14" s="166"/>
      <c r="Q14" s="166"/>
      <c r="R14" s="3"/>
      <c r="S14" s="3"/>
      <c r="T14" s="3"/>
      <c r="U14" s="3"/>
      <c r="V14" s="3"/>
      <c r="W14" s="3"/>
    </row>
    <row r="15" spans="1:23" ht="12" customHeight="1">
      <c r="A15" s="199" t="str">
        <f>A137</f>
        <v>Transport of FAME</v>
      </c>
      <c r="B15" s="99">
        <f>K146</f>
        <v>0.8218661175268818</v>
      </c>
      <c r="C15" s="102">
        <v>1</v>
      </c>
      <c r="D15" s="21">
        <f>C15*B15</f>
        <v>0.8218661175268818</v>
      </c>
      <c r="E15" s="35"/>
      <c r="F15" s="66"/>
      <c r="G15" s="91">
        <f>0.82</f>
        <v>0.82</v>
      </c>
      <c r="H15" s="11"/>
      <c r="I15" s="139"/>
      <c r="J15" s="97"/>
      <c r="K15" s="97"/>
      <c r="L15" s="97"/>
      <c r="M15" s="616"/>
      <c r="N15" s="612"/>
      <c r="O15" s="163"/>
      <c r="P15" s="3"/>
      <c r="Q15" s="3"/>
      <c r="R15" s="3"/>
      <c r="S15" s="3"/>
      <c r="T15" s="3"/>
      <c r="U15" s="3"/>
      <c r="V15" s="3"/>
      <c r="W15" s="3"/>
    </row>
    <row r="16" spans="1:23" ht="12" customHeight="1">
      <c r="A16" s="199" t="str">
        <f>A149</f>
        <v>Filling station</v>
      </c>
      <c r="B16" s="99">
        <f>K154</f>
        <v>0.4392449611111111</v>
      </c>
      <c r="C16" s="102">
        <v>1</v>
      </c>
      <c r="D16" s="21">
        <f>C16*B16</f>
        <v>0.4392449611111111</v>
      </c>
      <c r="E16" s="35"/>
      <c r="F16" s="66"/>
      <c r="G16" s="91">
        <f>0.44</f>
        <v>0.44</v>
      </c>
      <c r="H16" s="11"/>
      <c r="I16" s="139"/>
      <c r="J16" s="97"/>
      <c r="K16" s="97"/>
      <c r="L16" s="140"/>
      <c r="M16" s="617"/>
      <c r="N16" s="612"/>
      <c r="O16" s="163"/>
      <c r="P16" s="3"/>
      <c r="Q16" s="3"/>
      <c r="R16" s="3"/>
      <c r="S16" s="3"/>
      <c r="T16" s="3"/>
      <c r="U16" s="3"/>
      <c r="V16" s="3"/>
      <c r="W16" s="3"/>
    </row>
    <row r="17" spans="1:23" ht="17.25" customHeight="1">
      <c r="A17" s="206" t="s">
        <v>282</v>
      </c>
      <c r="B17" s="207">
        <f>K160</f>
        <v>0</v>
      </c>
      <c r="C17" s="208">
        <f>I6*I9</f>
        <v>0.5858912958253117</v>
      </c>
      <c r="D17" s="207">
        <f>C17*B17</f>
        <v>0</v>
      </c>
      <c r="E17" s="197">
        <f>D17</f>
        <v>0</v>
      </c>
      <c r="F17" s="67"/>
      <c r="G17" s="210">
        <v>0</v>
      </c>
      <c r="H17" s="11"/>
      <c r="I17" s="139"/>
      <c r="J17" s="97"/>
      <c r="K17" s="97"/>
      <c r="L17" s="98"/>
      <c r="M17" s="618"/>
      <c r="N17" s="628"/>
      <c r="O17" s="163"/>
      <c r="P17" s="3"/>
      <c r="Q17" s="3"/>
      <c r="R17" s="3"/>
      <c r="S17" s="3"/>
      <c r="T17" s="3"/>
      <c r="U17" s="3"/>
      <c r="V17" s="3"/>
      <c r="W17" s="3"/>
    </row>
    <row r="18" spans="1:23" ht="16.5" customHeight="1">
      <c r="A18" s="206" t="s">
        <v>267</v>
      </c>
      <c r="B18" s="207">
        <f>K166+K172+K178</f>
        <v>0</v>
      </c>
      <c r="C18" s="209">
        <v>1</v>
      </c>
      <c r="D18" s="207">
        <f>C18*B18</f>
        <v>0</v>
      </c>
      <c r="E18" s="197">
        <f>D18</f>
        <v>0</v>
      </c>
      <c r="F18" s="67"/>
      <c r="G18" s="210">
        <v>0</v>
      </c>
      <c r="H18" s="11"/>
      <c r="I18" s="139"/>
      <c r="J18" s="97"/>
      <c r="K18" s="97"/>
      <c r="L18" s="98"/>
      <c r="M18" s="618"/>
      <c r="N18" s="628"/>
      <c r="O18" s="167"/>
      <c r="P18" s="167"/>
      <c r="Q18" s="167"/>
      <c r="R18" s="167"/>
      <c r="S18" s="167"/>
      <c r="T18" s="167"/>
      <c r="U18" s="168"/>
      <c r="V18" s="169"/>
      <c r="W18" s="3"/>
    </row>
    <row r="19" spans="1:22" s="226" customFormat="1" ht="16.5" customHeight="1" thickBot="1">
      <c r="A19" s="212" t="s">
        <v>84</v>
      </c>
      <c r="B19" s="213">
        <f>SUM(B7:B16)+B18</f>
        <v>75.68669083766872</v>
      </c>
      <c r="C19" s="214"/>
      <c r="D19" s="214"/>
      <c r="E19" s="215">
        <f>SUM(E6:E18)</f>
        <v>51.7476592068812</v>
      </c>
      <c r="F19" s="224"/>
      <c r="G19" s="216">
        <v>52</v>
      </c>
      <c r="H19" s="225"/>
      <c r="I19" s="619" t="s">
        <v>3</v>
      </c>
      <c r="J19" s="620"/>
      <c r="K19" s="620"/>
      <c r="L19" s="621"/>
      <c r="M19" s="622"/>
      <c r="N19" s="300"/>
      <c r="O19" s="309"/>
      <c r="P19" s="309"/>
      <c r="Q19" s="309"/>
      <c r="R19" s="309"/>
      <c r="S19" s="309"/>
      <c r="T19" s="309"/>
      <c r="U19" s="309"/>
      <c r="V19" s="309"/>
    </row>
    <row r="20" spans="1:14" s="11" customFormat="1" ht="16.5" customHeight="1">
      <c r="A20" s="305"/>
      <c r="B20" s="306"/>
      <c r="C20" s="221"/>
      <c r="D20" s="221"/>
      <c r="E20" s="306"/>
      <c r="F20" s="68"/>
      <c r="G20" s="307"/>
      <c r="I20" s="223"/>
      <c r="J20" s="22"/>
      <c r="K20" s="22"/>
      <c r="L20" s="56"/>
      <c r="M20" s="56"/>
      <c r="N20" s="308"/>
    </row>
    <row r="21" spans="1:14" ht="22.5" customHeight="1">
      <c r="A21" s="120" t="s">
        <v>86</v>
      </c>
      <c r="B21" s="22"/>
      <c r="C21" s="54"/>
      <c r="D21" s="54"/>
      <c r="E21" s="54"/>
      <c r="F21" s="22"/>
      <c r="G21" s="311"/>
      <c r="H21" s="58"/>
      <c r="I21" s="57"/>
      <c r="J21" s="135"/>
      <c r="K21" s="135"/>
      <c r="L21" s="136"/>
      <c r="M21" s="136"/>
      <c r="N21" s="136"/>
    </row>
    <row r="22" spans="1:14" ht="15.75">
      <c r="A22" s="227" t="s">
        <v>293</v>
      </c>
      <c r="B22" s="228"/>
      <c r="C22" s="228"/>
      <c r="D22" s="228"/>
      <c r="E22" s="227" t="s">
        <v>37</v>
      </c>
      <c r="F22" s="229"/>
      <c r="G22" s="228"/>
      <c r="H22" s="230" t="s">
        <v>57</v>
      </c>
      <c r="I22" s="229"/>
      <c r="J22" s="229"/>
      <c r="K22" s="231"/>
      <c r="L22" s="134"/>
      <c r="M22" s="232" t="s">
        <v>252</v>
      </c>
      <c r="N22" s="232"/>
    </row>
    <row r="23" spans="1:14" ht="15.75">
      <c r="A23" s="27"/>
      <c r="B23" s="28" t="s">
        <v>49</v>
      </c>
      <c r="C23" s="29"/>
      <c r="D23" s="29"/>
      <c r="E23" s="103" t="s">
        <v>49</v>
      </c>
      <c r="F23" s="41"/>
      <c r="G23" s="40"/>
      <c r="H23" s="19" t="s">
        <v>303</v>
      </c>
      <c r="I23" s="41"/>
      <c r="J23" s="41"/>
      <c r="K23" s="42"/>
      <c r="L23" s="54"/>
      <c r="M23" s="127" t="s">
        <v>305</v>
      </c>
      <c r="N23" s="148" t="s">
        <v>275</v>
      </c>
    </row>
    <row r="24" spans="1:14" ht="15.75">
      <c r="A24" s="12"/>
      <c r="B24" s="9" t="s">
        <v>36</v>
      </c>
      <c r="C24" s="312">
        <v>3113.4428644904</v>
      </c>
      <c r="D24" s="30" t="s">
        <v>52</v>
      </c>
      <c r="E24" s="104">
        <f>C24*(1-C25)*VLOOKUP($B24,'Standard values'!$C$8:$R$131,13,FALSE)</f>
        <v>73975.40246029191</v>
      </c>
      <c r="F24" s="39" t="s">
        <v>295</v>
      </c>
      <c r="G24" s="39"/>
      <c r="H24" s="43" t="s">
        <v>88</v>
      </c>
      <c r="I24" s="43" t="s">
        <v>89</v>
      </c>
      <c r="J24" s="43" t="s">
        <v>90</v>
      </c>
      <c r="K24" s="44" t="s">
        <v>91</v>
      </c>
      <c r="L24" s="22"/>
      <c r="M24" s="44" t="s">
        <v>91</v>
      </c>
      <c r="N24" s="44" t="s">
        <v>268</v>
      </c>
    </row>
    <row r="25" spans="1:18" ht="15.75">
      <c r="A25" s="13"/>
      <c r="B25" s="9" t="s">
        <v>46</v>
      </c>
      <c r="C25" s="313">
        <v>0.1</v>
      </c>
      <c r="D25" s="30"/>
      <c r="E25" s="124">
        <v>1</v>
      </c>
      <c r="F25" s="85" t="s">
        <v>296</v>
      </c>
      <c r="G25" s="9"/>
      <c r="H25" s="31"/>
      <c r="I25" s="32"/>
      <c r="J25" s="32"/>
      <c r="K25" s="33"/>
      <c r="L25" s="22"/>
      <c r="M25" s="81"/>
      <c r="N25" s="81"/>
      <c r="P25" s="2"/>
      <c r="Q25" s="2"/>
      <c r="R25" s="2"/>
    </row>
    <row r="26" spans="1:18" ht="15.75">
      <c r="A26" s="13"/>
      <c r="B26" s="9" t="s">
        <v>101</v>
      </c>
      <c r="C26" s="314" t="s">
        <v>294</v>
      </c>
      <c r="D26" s="30" t="s">
        <v>52</v>
      </c>
      <c r="E26" s="126">
        <f>+C24/E183</f>
        <v>0.0727593854529781</v>
      </c>
      <c r="F26" s="85" t="s">
        <v>297</v>
      </c>
      <c r="G26" s="9"/>
      <c r="H26" s="32"/>
      <c r="I26" s="32"/>
      <c r="J26" s="32"/>
      <c r="K26" s="33"/>
      <c r="L26" s="22"/>
      <c r="M26" s="81"/>
      <c r="N26" s="81"/>
      <c r="P26" s="2"/>
      <c r="Q26" s="2"/>
      <c r="R26" s="2"/>
    </row>
    <row r="27" spans="1:18" ht="12.75">
      <c r="A27" s="13"/>
      <c r="B27" s="9"/>
      <c r="C27" s="14"/>
      <c r="D27" s="30"/>
      <c r="E27" s="13"/>
      <c r="F27" s="9"/>
      <c r="G27" s="9"/>
      <c r="H27" s="23"/>
      <c r="I27" s="23"/>
      <c r="J27" s="23"/>
      <c r="K27" s="34"/>
      <c r="L27" s="22"/>
      <c r="M27" s="81"/>
      <c r="N27" s="81"/>
      <c r="P27" s="2"/>
      <c r="Q27" s="2"/>
      <c r="R27" s="2"/>
    </row>
    <row r="28" spans="1:18" ht="12.75">
      <c r="A28" s="13"/>
      <c r="B28" s="10" t="s">
        <v>50</v>
      </c>
      <c r="C28" s="14"/>
      <c r="D28" s="30"/>
      <c r="E28" s="13"/>
      <c r="F28" s="9"/>
      <c r="G28" s="9"/>
      <c r="H28" s="23"/>
      <c r="I28" s="23"/>
      <c r="J28" s="23"/>
      <c r="K28" s="34"/>
      <c r="L28" s="22"/>
      <c r="M28" s="81"/>
      <c r="N28" s="81"/>
      <c r="P28" s="2"/>
      <c r="Q28" s="2"/>
      <c r="R28" s="2"/>
    </row>
    <row r="29" spans="1:14" ht="14.25">
      <c r="A29" s="13"/>
      <c r="B29" s="9" t="s">
        <v>33</v>
      </c>
      <c r="C29" s="315">
        <v>2963</v>
      </c>
      <c r="D29" s="30" t="s">
        <v>53</v>
      </c>
      <c r="E29" s="38"/>
      <c r="F29" s="9"/>
      <c r="G29" s="9"/>
      <c r="H29" s="32">
        <f>$C29*VLOOKUP($B29,'Standard values'!$C$8:$R$131,6,FALSE)/$E$183</f>
        <v>6.068434046019711</v>
      </c>
      <c r="I29" s="32">
        <f>$C29*VLOOKUP($B29,'Standard values'!$C$8:$R$131,7,FALSE)/$E$183</f>
        <v>0</v>
      </c>
      <c r="J29" s="32">
        <f>$C29*VLOOKUP($B29,'Standard values'!$C$8:$R$131,8,FALSE)/$E$183</f>
        <v>0</v>
      </c>
      <c r="K29" s="33">
        <f>H29*'Standard values'!$G$9+I29*'Standard values'!$G$10+J29*'Standard values'!$G$11</f>
        <v>6.068434046019711</v>
      </c>
      <c r="L29" s="22"/>
      <c r="M29" s="131">
        <f>+K29/$E$26</f>
        <v>83.40414103609399</v>
      </c>
      <c r="N29" s="132">
        <f>K29*$E$183/1000</f>
        <v>259.67402777777784</v>
      </c>
    </row>
    <row r="30" spans="1:14" ht="12.75">
      <c r="A30" s="13"/>
      <c r="B30" s="9"/>
      <c r="C30" s="14"/>
      <c r="D30" s="30"/>
      <c r="E30" s="38"/>
      <c r="F30" s="9"/>
      <c r="G30" s="9"/>
      <c r="H30" s="32"/>
      <c r="I30" s="32"/>
      <c r="J30" s="32"/>
      <c r="K30" s="33"/>
      <c r="L30" s="22"/>
      <c r="M30" s="131"/>
      <c r="N30" s="132"/>
    </row>
    <row r="31" spans="1:14" ht="12.75">
      <c r="A31" s="13"/>
      <c r="B31" s="10" t="s">
        <v>80</v>
      </c>
      <c r="C31" s="14"/>
      <c r="D31" s="30"/>
      <c r="E31" s="38"/>
      <c r="F31" s="9"/>
      <c r="G31" s="9"/>
      <c r="H31" s="32"/>
      <c r="I31" s="32"/>
      <c r="J31" s="32"/>
      <c r="K31" s="33"/>
      <c r="L31" s="22"/>
      <c r="M31" s="131"/>
      <c r="N31" s="132"/>
    </row>
    <row r="32" spans="1:14" ht="14.25">
      <c r="A32" s="13"/>
      <c r="B32" s="9" t="s">
        <v>115</v>
      </c>
      <c r="C32" s="316">
        <v>137.429151261384</v>
      </c>
      <c r="D32" s="30" t="s">
        <v>54</v>
      </c>
      <c r="E32" s="38"/>
      <c r="F32" s="9"/>
      <c r="G32" s="9"/>
      <c r="H32" s="32">
        <f>$C32*VLOOKUP($B32,'Standard values'!$C$8:$R$131,2,FALSE)/$E$183</f>
        <v>9.079324693628818</v>
      </c>
      <c r="I32" s="32">
        <f>$C32*VLOOKUP($B32,'Standard values'!$C$8:$R$131,3,FALSE)/$E$183</f>
        <v>0.027873189449040502</v>
      </c>
      <c r="J32" s="32">
        <f>$C32*VLOOKUP($B32,'Standard values'!$C$8:$R$131,4,FALSE)/$E$183</f>
        <v>0.030965999680803644</v>
      </c>
      <c r="K32" s="33">
        <f>H32*'Standard values'!$G$9+I32*'Standard values'!$G$10+J32*'Standard values'!$G$11</f>
        <v>18.886343956474626</v>
      </c>
      <c r="L32" s="22"/>
      <c r="M32" s="131">
        <f>+K32/$E$26</f>
        <v>259.5726151189144</v>
      </c>
      <c r="N32" s="132">
        <f>K32*$E$183/1000</f>
        <v>808.1645063590971</v>
      </c>
    </row>
    <row r="33" spans="1:14" ht="14.25">
      <c r="A33" s="13"/>
      <c r="B33" s="9" t="s">
        <v>116</v>
      </c>
      <c r="C33" s="316">
        <v>19</v>
      </c>
      <c r="D33" s="30" t="s">
        <v>302</v>
      </c>
      <c r="E33" s="38"/>
      <c r="F33" s="9"/>
      <c r="G33" s="9"/>
      <c r="H33" s="32">
        <f>$C33*VLOOKUP($B33,'Standard values'!$C$8:$R$131,2,FALSE)/$E$183</f>
        <v>0.052889787724328285</v>
      </c>
      <c r="I33" s="32">
        <f>$C33*VLOOKUP($B33,'Standard values'!$C$8:$R$131,3,FALSE)/$E$183</f>
        <v>9.586373929348262E-05</v>
      </c>
      <c r="J33" s="32">
        <f>$C33*VLOOKUP($B33,'Standard values'!$C$8:$R$131,4,FALSE)/$E$183</f>
        <v>8.125550852574026E-06</v>
      </c>
      <c r="K33" s="33">
        <f>H33*'Standard values'!$G$9+I33*'Standard values'!$G$10+J33*'Standard values'!$G$11</f>
        <v>0.05749981678044029</v>
      </c>
      <c r="L33" s="22"/>
      <c r="M33" s="131">
        <f>+K33/$E$26</f>
        <v>0.7902735354684992</v>
      </c>
      <c r="N33" s="132">
        <f>K33*$E$183/1000</f>
        <v>2.4604715</v>
      </c>
    </row>
    <row r="34" spans="1:14" ht="15.75">
      <c r="A34" s="13"/>
      <c r="B34" s="9" t="s">
        <v>234</v>
      </c>
      <c r="C34" s="316">
        <v>49.4567040711837</v>
      </c>
      <c r="D34" s="30" t="s">
        <v>55</v>
      </c>
      <c r="E34" s="38"/>
      <c r="F34" s="9"/>
      <c r="G34" s="9"/>
      <c r="H34" s="32">
        <f>$C34*VLOOKUP($B34,'Standard values'!$C$8:$R$131,2,FALSE)/$E$183</f>
        <v>0.6198547249426518</v>
      </c>
      <c r="I34" s="32">
        <f>$C34*VLOOKUP($B34,'Standard values'!$C$8:$R$131,3,FALSE)/$E$183</f>
        <v>0.0018156069313758339</v>
      </c>
      <c r="J34" s="32">
        <f>$C34*VLOOKUP($B34,'Standard values'!$C$8:$R$131,4,FALSE)/$E$183</f>
        <v>1.421603237374929E-05</v>
      </c>
      <c r="K34" s="33">
        <f>H34*'Standard values'!$G$9+I34*'Standard values'!$G$10+J34*'Standard values'!$G$11</f>
        <v>0.6658216299469258</v>
      </c>
      <c r="L34" s="22"/>
      <c r="M34" s="131">
        <f>+K34/$E$26</f>
        <v>9.151006784921563</v>
      </c>
      <c r="N34" s="132">
        <f>K34*$E$183/1000</f>
        <v>28.491136777417278</v>
      </c>
    </row>
    <row r="35" spans="1:14" ht="15.75">
      <c r="A35" s="13"/>
      <c r="B35" s="9" t="s">
        <v>235</v>
      </c>
      <c r="C35" s="316">
        <v>33.6731459745861</v>
      </c>
      <c r="D35" s="30" t="s">
        <v>56</v>
      </c>
      <c r="E35" s="38"/>
      <c r="F35" s="9"/>
      <c r="G35" s="9"/>
      <c r="H35" s="32">
        <f>$C35*VLOOKUP($B35,'Standard values'!$C$8:$R$131,2,FALSE)/$E$183</f>
        <v>0.7592906379742507</v>
      </c>
      <c r="I35" s="32">
        <f>$C35*VLOOKUP($B35,'Standard values'!$C$8:$R$131,3,FALSE)/$E$183</f>
        <v>0.001047393490471395</v>
      </c>
      <c r="J35" s="32">
        <f>$C35*VLOOKUP($B35,'Standard values'!$C$8:$R$131,4,FALSE)/$E$183</f>
        <v>4.052649493559492E-05</v>
      </c>
      <c r="K35" s="33">
        <f>H35*'Standard values'!$G$9+I35*'Standard values'!$G$10+J35*'Standard values'!$G$11</f>
        <v>0.7953765307560289</v>
      </c>
      <c r="L35" s="22"/>
      <c r="M35" s="131">
        <f>+K35/$E$26</f>
        <v>10.93160044995231</v>
      </c>
      <c r="N35" s="132">
        <f>K35*$E$183/1000</f>
        <v>34.03491341836406</v>
      </c>
    </row>
    <row r="36" spans="1:14" ht="14.25">
      <c r="A36" s="13"/>
      <c r="B36" s="9" t="s">
        <v>31</v>
      </c>
      <c r="C36" s="316">
        <v>1.23</v>
      </c>
      <c r="D36" s="30" t="s">
        <v>52</v>
      </c>
      <c r="E36" s="38"/>
      <c r="F36" s="15"/>
      <c r="G36" s="15"/>
      <c r="H36" s="32">
        <f>$C36*VLOOKUP($B36,'Standard values'!$C$8:$R$131,2,FALSE)/$E$183</f>
        <v>0.28418155866765027</v>
      </c>
      <c r="I36" s="32">
        <f>$C36*VLOOKUP($B36,'Standard values'!$C$8:$R$131,3,FALSE)/$E$183</f>
        <v>0.0007337611489144467</v>
      </c>
      <c r="J36" s="32">
        <f>$C36*VLOOKUP($B36,'Standard values'!$C$8:$R$131,4,FALSE)/$E$183</f>
        <v>4.833083255774258E-05</v>
      </c>
      <c r="K36" s="33">
        <f>H36*'Standard values'!$G$9+I36*'Standard values'!$G$10+J36*'Standard values'!$G$11</f>
        <v>0.31536399152977435</v>
      </c>
      <c r="L36" s="22"/>
      <c r="M36" s="131">
        <f>+K36/$E$26</f>
        <v>4.334341055334824</v>
      </c>
      <c r="N36" s="132">
        <f>K36*$E$183/1000</f>
        <v>13.494723230999998</v>
      </c>
    </row>
    <row r="37" spans="1:14" ht="12.75">
      <c r="A37" s="13"/>
      <c r="B37" s="9"/>
      <c r="C37" s="16"/>
      <c r="D37" s="30"/>
      <c r="E37" s="38"/>
      <c r="F37" s="15"/>
      <c r="G37" s="15"/>
      <c r="H37" s="32"/>
      <c r="I37" s="32"/>
      <c r="J37" s="32"/>
      <c r="K37" s="33"/>
      <c r="L37" s="22"/>
      <c r="M37" s="131"/>
      <c r="N37" s="132"/>
    </row>
    <row r="38" spans="1:14" ht="12.75">
      <c r="A38" s="13"/>
      <c r="B38" s="10" t="s">
        <v>35</v>
      </c>
      <c r="C38" s="16"/>
      <c r="D38" s="30"/>
      <c r="E38" s="38"/>
      <c r="F38" s="9"/>
      <c r="G38" s="15"/>
      <c r="H38" s="32"/>
      <c r="I38" s="32"/>
      <c r="J38" s="32"/>
      <c r="K38" s="33"/>
      <c r="L38" s="22"/>
      <c r="M38" s="131"/>
      <c r="N38" s="132"/>
    </row>
    <row r="39" spans="1:14" ht="14.25">
      <c r="A39" s="13"/>
      <c r="B39" s="39" t="s">
        <v>118</v>
      </c>
      <c r="C39" s="317">
        <v>6</v>
      </c>
      <c r="D39" s="30" t="s">
        <v>52</v>
      </c>
      <c r="E39" s="38"/>
      <c r="F39" s="9"/>
      <c r="G39" s="9"/>
      <c r="H39" s="32">
        <f>$C39*VLOOKUP($B39,'Standard values'!$C$8:$R$131,2,FALSE)/$E$183</f>
        <v>0.05778060282026993</v>
      </c>
      <c r="I39" s="32">
        <f>$C39*VLOOKUP($B39,'Standard values'!$C$8:$R$131,3,FALSE)/$E$183</f>
        <v>0.00012797567322078192</v>
      </c>
      <c r="J39" s="32">
        <f>$C39*VLOOKUP($B39,'Standard values'!$C$8:$R$131,4,FALSE)/$E$183</f>
        <v>0.00014060918714342075</v>
      </c>
      <c r="K39" s="33">
        <f>H39*'Standard values'!$G$9+I39*'Standard values'!$G$10+J39*'Standard values'!$G$11</f>
        <v>0.10234436269880046</v>
      </c>
      <c r="L39" s="22"/>
      <c r="M39" s="131">
        <f>+K39/$E$26</f>
        <v>1.4066138967727004</v>
      </c>
      <c r="N39" s="132">
        <f>K39*$E$183/1000</f>
        <v>4.379412</v>
      </c>
    </row>
    <row r="40" spans="1:14" ht="12.75">
      <c r="A40" s="13"/>
      <c r="B40" s="10"/>
      <c r="C40" s="17"/>
      <c r="D40" s="30"/>
      <c r="E40" s="38"/>
      <c r="F40" s="9"/>
      <c r="G40" s="9"/>
      <c r="H40" s="32"/>
      <c r="I40" s="32"/>
      <c r="J40" s="32"/>
      <c r="K40" s="33"/>
      <c r="L40" s="22"/>
      <c r="M40" s="131"/>
      <c r="N40" s="132"/>
    </row>
    <row r="41" spans="1:14" ht="15.75">
      <c r="A41" s="13"/>
      <c r="B41" s="10" t="s">
        <v>81</v>
      </c>
      <c r="C41" s="318">
        <f>(0.151/3.6)*E24/1000</f>
        <v>3.102857158751133</v>
      </c>
      <c r="D41" s="30" t="s">
        <v>52</v>
      </c>
      <c r="E41" s="38"/>
      <c r="F41" s="9"/>
      <c r="G41" s="9"/>
      <c r="H41" s="32">
        <v>0</v>
      </c>
      <c r="I41" s="32">
        <v>0</v>
      </c>
      <c r="J41" s="32">
        <f>1000*$C41/$E$183</f>
        <v>0.07251200354243797</v>
      </c>
      <c r="K41" s="33">
        <f>H41*'Standard values'!$G$9+I41*'Standard values'!$G$10+J41*'Standard values'!$G$11</f>
        <v>21.46355304856164</v>
      </c>
      <c r="L41" s="22"/>
      <c r="M41" s="131">
        <f>+K41/$E$26</f>
        <v>294.9936</v>
      </c>
      <c r="N41" s="132">
        <f>K41*$E$183/1000</f>
        <v>918.4457189903352</v>
      </c>
    </row>
    <row r="42" spans="1:14" ht="12.75">
      <c r="A42" s="13"/>
      <c r="B42" s="10"/>
      <c r="C42" s="20"/>
      <c r="D42" s="9"/>
      <c r="E42" s="38"/>
      <c r="F42" s="18"/>
      <c r="G42" s="18" t="s">
        <v>82</v>
      </c>
      <c r="H42" s="117">
        <f>SUM(H25:H41)</f>
        <v>16.92175605177768</v>
      </c>
      <c r="I42" s="117">
        <f>SUM(I25:I41)</f>
        <v>0.031693790432316446</v>
      </c>
      <c r="J42" s="117">
        <f>SUM(J25:J41)</f>
        <v>0.1037298113211047</v>
      </c>
      <c r="K42" s="118">
        <f>H42*'Standard values'!$G$9+I42*'Standard values'!$G$10+J42*'Standard values'!$G$11</f>
        <v>48.35473738276795</v>
      </c>
      <c r="L42" s="22"/>
      <c r="M42" s="128">
        <f>+K42/$E$26</f>
        <v>664.5841918774585</v>
      </c>
      <c r="N42" s="133">
        <f>K42*$E$183/1000</f>
        <v>2069.1449100539917</v>
      </c>
    </row>
    <row r="43" spans="1:14" ht="12.75">
      <c r="A43" s="13"/>
      <c r="B43" s="10"/>
      <c r="C43" s="20"/>
      <c r="D43" s="9"/>
      <c r="E43" s="38"/>
      <c r="F43" s="18"/>
      <c r="G43" s="18"/>
      <c r="H43" s="21"/>
      <c r="I43" s="21"/>
      <c r="J43" s="21"/>
      <c r="K43" s="35"/>
      <c r="L43" s="22"/>
      <c r="M43" s="11"/>
      <c r="N43" s="11"/>
    </row>
    <row r="44" spans="1:14" ht="15.75">
      <c r="A44" s="233"/>
      <c r="B44" s="234"/>
      <c r="C44" s="234"/>
      <c r="D44" s="234"/>
      <c r="E44" s="233"/>
      <c r="F44" s="235"/>
      <c r="G44" s="235" t="s">
        <v>60</v>
      </c>
      <c r="H44" s="236"/>
      <c r="I44" s="237" t="s">
        <v>304</v>
      </c>
      <c r="J44" s="238"/>
      <c r="K44" s="239">
        <f>K42</f>
        <v>48.35473738276795</v>
      </c>
      <c r="L44" s="22"/>
      <c r="M44" s="11"/>
      <c r="N44" s="11"/>
    </row>
    <row r="45" spans="1:14" ht="12.75">
      <c r="A45" s="22"/>
      <c r="B45" s="22"/>
      <c r="C45" s="22"/>
      <c r="D45" s="22"/>
      <c r="E45" s="22"/>
      <c r="F45" s="51"/>
      <c r="G45" s="51"/>
      <c r="H45" s="52"/>
      <c r="I45" s="53"/>
      <c r="J45" s="54"/>
      <c r="K45" s="55"/>
      <c r="L45" s="22"/>
      <c r="M45" s="11"/>
      <c r="N45" s="11"/>
    </row>
    <row r="46" spans="1:14" ht="12.75">
      <c r="A46" s="11"/>
      <c r="B46" s="11"/>
      <c r="C46" s="11"/>
      <c r="D46" s="11"/>
      <c r="E46" s="11"/>
      <c r="F46" s="11"/>
      <c r="G46" s="11"/>
      <c r="H46" s="26"/>
      <c r="I46" s="26"/>
      <c r="J46" s="26"/>
      <c r="K46" s="26"/>
      <c r="L46" s="22"/>
      <c r="M46" s="11"/>
      <c r="N46" s="11"/>
    </row>
    <row r="47" spans="1:14" ht="15.75">
      <c r="A47" s="241" t="s">
        <v>298</v>
      </c>
      <c r="B47" s="242"/>
      <c r="C47" s="242"/>
      <c r="D47" s="242"/>
      <c r="E47" s="241" t="s">
        <v>37</v>
      </c>
      <c r="F47" s="243"/>
      <c r="G47" s="242"/>
      <c r="H47" s="243" t="s">
        <v>57</v>
      </c>
      <c r="I47" s="244"/>
      <c r="J47" s="244"/>
      <c r="K47" s="245"/>
      <c r="L47" s="22"/>
      <c r="M47" s="246" t="s">
        <v>252</v>
      </c>
      <c r="N47" s="11"/>
    </row>
    <row r="48" spans="1:14" ht="15.75">
      <c r="A48" s="78"/>
      <c r="B48" s="10" t="s">
        <v>36</v>
      </c>
      <c r="C48" s="290">
        <v>1</v>
      </c>
      <c r="D48" s="9" t="s">
        <v>300</v>
      </c>
      <c r="E48" s="105">
        <f>E24*C48</f>
        <v>73975.40246029191</v>
      </c>
      <c r="F48" s="39" t="s">
        <v>295</v>
      </c>
      <c r="G48" s="9"/>
      <c r="H48" s="19" t="s">
        <v>303</v>
      </c>
      <c r="I48" s="18"/>
      <c r="J48" s="18"/>
      <c r="K48" s="79"/>
      <c r="L48" s="22"/>
      <c r="M48" s="127" t="s">
        <v>305</v>
      </c>
      <c r="N48" s="11"/>
    </row>
    <row r="49" spans="1:14" ht="15.75">
      <c r="A49" s="78"/>
      <c r="B49" s="9"/>
      <c r="C49" s="20"/>
      <c r="D49" s="9"/>
      <c r="E49" s="124">
        <f>E25*C48</f>
        <v>1</v>
      </c>
      <c r="F49" s="85" t="s">
        <v>296</v>
      </c>
      <c r="G49" s="9"/>
      <c r="H49" s="45" t="s">
        <v>88</v>
      </c>
      <c r="I49" s="45" t="s">
        <v>89</v>
      </c>
      <c r="J49" s="45" t="s">
        <v>90</v>
      </c>
      <c r="K49" s="80" t="s">
        <v>91</v>
      </c>
      <c r="L49" s="22"/>
      <c r="M49" s="44" t="s">
        <v>91</v>
      </c>
      <c r="N49" s="11"/>
    </row>
    <row r="50" spans="1:14" ht="12.75">
      <c r="A50" s="13"/>
      <c r="B50" s="10" t="s">
        <v>50</v>
      </c>
      <c r="C50" s="9"/>
      <c r="D50" s="9"/>
      <c r="E50" s="13"/>
      <c r="F50" s="9"/>
      <c r="G50" s="9"/>
      <c r="H50" s="9"/>
      <c r="I50" s="9"/>
      <c r="J50" s="9"/>
      <c r="K50" s="81"/>
      <c r="L50" s="22"/>
      <c r="M50" s="81"/>
      <c r="N50" s="11"/>
    </row>
    <row r="51" spans="1:14" ht="15.75">
      <c r="A51" s="13"/>
      <c r="B51" s="39" t="s">
        <v>33</v>
      </c>
      <c r="C51" s="319">
        <v>0.000181</v>
      </c>
      <c r="D51" s="9" t="s">
        <v>306</v>
      </c>
      <c r="E51" s="13"/>
      <c r="F51" s="9"/>
      <c r="G51" s="9"/>
      <c r="H51" s="76">
        <f>$C51*$E$49*VLOOKUP($B51,'Standard values'!$C$8:$R$131,6,FALSE)/$E$184</f>
        <v>0.027422743167501266</v>
      </c>
      <c r="I51" s="76">
        <f>$C51*$E$49*VLOOKUP($B51,'Standard values'!$C$8:$R$131,7,FALSE)/$E$184</f>
        <v>0</v>
      </c>
      <c r="J51" s="76">
        <f>$C51*$E$49*VLOOKUP($B51,'Standard values'!$C$8:$R$131,8,FALSE)/$E$184</f>
        <v>0</v>
      </c>
      <c r="K51" s="91">
        <f>H51*'Standard values'!$G$9+I51*'Standard values'!$G$10+J51*'Standard values'!$G$11</f>
        <v>0.027422743167501266</v>
      </c>
      <c r="L51" s="22"/>
      <c r="M51" s="131">
        <f>+K51/$E$26</f>
        <v>0.37689629999999996</v>
      </c>
      <c r="N51" s="11"/>
    </row>
    <row r="52" spans="1:14" ht="15.75">
      <c r="A52" s="13"/>
      <c r="B52" s="9" t="s">
        <v>236</v>
      </c>
      <c r="C52" s="319">
        <v>0.003079</v>
      </c>
      <c r="D52" s="9" t="s">
        <v>306</v>
      </c>
      <c r="E52" s="13"/>
      <c r="F52" s="9"/>
      <c r="G52" s="9"/>
      <c r="H52" s="76">
        <f>$C52*$E$49*VLOOKUP($B52,'Standard values'!$C$8:$R$131,6,FALSE)/$E$184</f>
        <v>0.6429723659156438</v>
      </c>
      <c r="I52" s="76">
        <f>$C52*$E$49*VLOOKUP($B52,'Standard values'!$C$8:$R$131,7,FALSE)/$E$184</f>
        <v>0.00156802621636457</v>
      </c>
      <c r="J52" s="76">
        <f>$C52*$E$49*VLOOKUP($B52,'Standard values'!$C$8:$R$131,8,FALSE)/$E$184</f>
        <v>2.9127879738219736E-05</v>
      </c>
      <c r="K52" s="91">
        <f>H52*'Standard values'!$G$9+I52*'Standard values'!$G$10+J52*'Standard values'!$G$11</f>
        <v>0.6876588212945419</v>
      </c>
      <c r="L52" s="22"/>
      <c r="M52" s="131">
        <f>+K52/$E$26</f>
        <v>9.45113564406</v>
      </c>
      <c r="N52" s="11"/>
    </row>
    <row r="53" spans="1:14" ht="12.75">
      <c r="A53" s="13"/>
      <c r="B53" s="9"/>
      <c r="C53" s="9"/>
      <c r="D53" s="9"/>
      <c r="E53" s="13"/>
      <c r="F53" s="9"/>
      <c r="G53" s="18" t="s">
        <v>82</v>
      </c>
      <c r="H53" s="117">
        <f>SUM(H50:H52)</f>
        <v>0.670395109083145</v>
      </c>
      <c r="I53" s="117">
        <f>SUM(I50:I52)</f>
        <v>0.00156802621636457</v>
      </c>
      <c r="J53" s="117">
        <f>SUM(J50:J52)</f>
        <v>2.9127879738219736E-05</v>
      </c>
      <c r="K53" s="118">
        <f>H53*'Standard values'!$G$9+I53*'Standard values'!$G$10+J53*'Standard values'!$G$11</f>
        <v>0.7150815644620432</v>
      </c>
      <c r="L53" s="22"/>
      <c r="M53" s="128">
        <f>+K53/$E$26</f>
        <v>9.82803194406</v>
      </c>
      <c r="N53" s="146"/>
    </row>
    <row r="54" spans="1:14" ht="12.75">
      <c r="A54" s="82"/>
      <c r="B54" s="9"/>
      <c r="C54" s="19"/>
      <c r="D54" s="9"/>
      <c r="E54" s="13"/>
      <c r="F54" s="9"/>
      <c r="G54" s="9"/>
      <c r="H54" s="9"/>
      <c r="I54" s="9"/>
      <c r="J54" s="9"/>
      <c r="K54" s="81"/>
      <c r="L54" s="22"/>
      <c r="M54" s="11"/>
      <c r="N54" s="11"/>
    </row>
    <row r="55" spans="1:14" ht="15.75">
      <c r="A55" s="233"/>
      <c r="B55" s="234"/>
      <c r="C55" s="234"/>
      <c r="D55" s="234"/>
      <c r="E55" s="233"/>
      <c r="F55" s="235"/>
      <c r="G55" s="235" t="s">
        <v>60</v>
      </c>
      <c r="H55" s="234"/>
      <c r="I55" s="237" t="s">
        <v>304</v>
      </c>
      <c r="J55" s="240"/>
      <c r="K55" s="239">
        <f>K53</f>
        <v>0.7150815644620432</v>
      </c>
      <c r="L55" s="22"/>
      <c r="M55" s="11"/>
      <c r="N55" s="11"/>
    </row>
    <row r="56" spans="1:14" ht="12.75">
      <c r="A56" s="11"/>
      <c r="B56" s="11"/>
      <c r="C56" s="11"/>
      <c r="D56" s="11"/>
      <c r="E56" s="11"/>
      <c r="F56" s="47"/>
      <c r="G56" s="47"/>
      <c r="H56" s="11"/>
      <c r="I56" s="48"/>
      <c r="J56" s="49"/>
      <c r="K56" s="50"/>
      <c r="L56" s="22"/>
      <c r="M56" s="11"/>
      <c r="N56" s="11"/>
    </row>
    <row r="57" spans="1:14" ht="12.75">
      <c r="A57" s="11"/>
      <c r="B57" s="11"/>
      <c r="C57" s="11"/>
      <c r="D57" s="11"/>
      <c r="E57" s="11"/>
      <c r="F57" s="11"/>
      <c r="G57" s="11"/>
      <c r="H57" s="26"/>
      <c r="I57" s="26"/>
      <c r="J57" s="26"/>
      <c r="K57" s="26"/>
      <c r="L57" s="22"/>
      <c r="M57" s="11"/>
      <c r="N57" s="11"/>
    </row>
    <row r="58" spans="1:14" ht="15.75">
      <c r="A58" s="241" t="s">
        <v>299</v>
      </c>
      <c r="B58" s="242"/>
      <c r="C58" s="242"/>
      <c r="D58" s="242"/>
      <c r="E58" s="241" t="s">
        <v>37</v>
      </c>
      <c r="F58" s="243"/>
      <c r="G58" s="242"/>
      <c r="H58" s="243" t="s">
        <v>57</v>
      </c>
      <c r="I58" s="244"/>
      <c r="J58" s="244"/>
      <c r="K58" s="245"/>
      <c r="L58" s="22"/>
      <c r="M58" s="246" t="s">
        <v>252</v>
      </c>
      <c r="N58" s="11"/>
    </row>
    <row r="59" spans="1:14" ht="15.75">
      <c r="A59" s="13"/>
      <c r="B59" s="10" t="s">
        <v>36</v>
      </c>
      <c r="C59" s="290">
        <f>1/1.01</f>
        <v>0.9900990099009901</v>
      </c>
      <c r="D59" s="9" t="s">
        <v>300</v>
      </c>
      <c r="E59" s="106">
        <f>E48*C59</f>
        <v>73242.97273296228</v>
      </c>
      <c r="F59" s="39" t="s">
        <v>295</v>
      </c>
      <c r="G59" s="9"/>
      <c r="H59" s="19" t="s">
        <v>303</v>
      </c>
      <c r="I59" s="18"/>
      <c r="J59" s="18"/>
      <c r="K59" s="79"/>
      <c r="L59" s="22"/>
      <c r="M59" s="127" t="s">
        <v>305</v>
      </c>
      <c r="N59" s="11"/>
    </row>
    <row r="60" spans="1:14" ht="15.75">
      <c r="A60" s="13"/>
      <c r="B60" s="9"/>
      <c r="C60" s="9"/>
      <c r="D60" s="9"/>
      <c r="E60" s="124">
        <f>E49*C59</f>
        <v>0.9900990099009901</v>
      </c>
      <c r="F60" s="85" t="s">
        <v>296</v>
      </c>
      <c r="G60" s="9"/>
      <c r="H60" s="45" t="s">
        <v>88</v>
      </c>
      <c r="I60" s="45" t="s">
        <v>89</v>
      </c>
      <c r="J60" s="45" t="s">
        <v>90</v>
      </c>
      <c r="K60" s="80" t="s">
        <v>91</v>
      </c>
      <c r="L60" s="22"/>
      <c r="M60" s="44" t="s">
        <v>91</v>
      </c>
      <c r="N60" s="11"/>
    </row>
    <row r="61" spans="1:14" ht="12.75">
      <c r="A61" s="13"/>
      <c r="B61" s="10" t="s">
        <v>27</v>
      </c>
      <c r="C61" s="9"/>
      <c r="D61" s="9"/>
      <c r="E61" s="124"/>
      <c r="F61" s="85"/>
      <c r="G61" s="9"/>
      <c r="H61" s="45"/>
      <c r="I61" s="45"/>
      <c r="J61" s="45"/>
      <c r="K61" s="80"/>
      <c r="L61" s="22"/>
      <c r="M61" s="81"/>
      <c r="N61" s="11"/>
    </row>
    <row r="62" spans="1:14" ht="15.75">
      <c r="A62" s="13"/>
      <c r="B62" s="9" t="s">
        <v>148</v>
      </c>
      <c r="C62" s="288">
        <v>50</v>
      </c>
      <c r="D62" s="9" t="s">
        <v>34</v>
      </c>
      <c r="E62" s="125">
        <f>(C62*E60)/(VLOOKUP($B59,'Standard values'!$C$8:$R$131,13,FALSE))/(1-$C$25)/1000</f>
        <v>0.0020835416875020834</v>
      </c>
      <c r="F62" s="9" t="s">
        <v>301</v>
      </c>
      <c r="G62" s="9"/>
      <c r="H62" s="76">
        <f>$E62*VLOOKUP($B62,'Standard values'!$C$8:$R$131,14,FALSE)*VLOOKUP(C63,'Standard values'!$C$8:$P$131,6,FALSE)/$E$184</f>
        <v>0.2954679400350393</v>
      </c>
      <c r="I62" s="76">
        <f>$E62*VLOOKUP($B62,'Standard values'!$C$8:$R$131,15,FALSE)/$E$184</f>
        <v>1.8009748874499528E-05</v>
      </c>
      <c r="J62" s="76">
        <f>$E62*VLOOKUP($B62,'Standard values'!$C$8:$R$131,16,FALSE)/$E$184</f>
        <v>0</v>
      </c>
      <c r="K62" s="118">
        <f>H62*'Standard values'!$G$9+I62*'Standard values'!$G$10+J62*'Standard values'!$G$11</f>
        <v>0.29588216425915276</v>
      </c>
      <c r="L62" s="22"/>
      <c r="M62" s="128">
        <f>+K62/$E$26</f>
        <v>4.066584158415842</v>
      </c>
      <c r="N62" s="11"/>
    </row>
    <row r="63" spans="1:14" ht="12.75">
      <c r="A63" s="13"/>
      <c r="B63" s="23" t="s">
        <v>244</v>
      </c>
      <c r="C63" s="289" t="s">
        <v>33</v>
      </c>
      <c r="D63" s="9"/>
      <c r="E63" s="125"/>
      <c r="F63" s="9"/>
      <c r="G63" s="9"/>
      <c r="H63" s="76"/>
      <c r="I63" s="76"/>
      <c r="J63" s="76"/>
      <c r="K63" s="118"/>
      <c r="L63" s="22"/>
      <c r="M63" s="11"/>
      <c r="N63" s="11"/>
    </row>
    <row r="64" spans="1:14" ht="12.75">
      <c r="A64" s="13"/>
      <c r="B64" s="9"/>
      <c r="C64" s="9"/>
      <c r="D64" s="9"/>
      <c r="E64" s="13"/>
      <c r="F64" s="9"/>
      <c r="G64" s="83"/>
      <c r="H64" s="76"/>
      <c r="I64" s="76"/>
      <c r="J64" s="76"/>
      <c r="K64" s="118"/>
      <c r="L64" s="22"/>
      <c r="M64" s="11"/>
      <c r="N64" s="11"/>
    </row>
    <row r="65" spans="1:14" ht="15.75">
      <c r="A65" s="233"/>
      <c r="B65" s="234"/>
      <c r="C65" s="234"/>
      <c r="D65" s="234"/>
      <c r="E65" s="233"/>
      <c r="F65" s="235"/>
      <c r="G65" s="235" t="s">
        <v>60</v>
      </c>
      <c r="H65" s="234"/>
      <c r="I65" s="237" t="s">
        <v>304</v>
      </c>
      <c r="J65" s="240"/>
      <c r="K65" s="239">
        <f>K62</f>
        <v>0.29588216425915276</v>
      </c>
      <c r="L65" s="22"/>
      <c r="M65" s="11"/>
      <c r="N65" s="11"/>
    </row>
    <row r="66" spans="1:14" ht="12.75">
      <c r="A66" s="11"/>
      <c r="B66" s="11"/>
      <c r="C66" s="11"/>
      <c r="D66" s="11"/>
      <c r="E66" s="11"/>
      <c r="F66" s="47"/>
      <c r="G66" s="47"/>
      <c r="H66" s="11"/>
      <c r="I66" s="48"/>
      <c r="J66" s="49"/>
      <c r="K66" s="50"/>
      <c r="L66" s="22"/>
      <c r="M66" s="22"/>
      <c r="N66" s="22"/>
    </row>
    <row r="67" spans="1:14" ht="12.75">
      <c r="A67" s="11"/>
      <c r="B67" s="11"/>
      <c r="C67" s="11"/>
      <c r="D67" s="11"/>
      <c r="E67" s="11"/>
      <c r="F67" s="11"/>
      <c r="G67" s="11"/>
      <c r="H67" s="11"/>
      <c r="I67" s="11"/>
      <c r="J67" s="11"/>
      <c r="K67" s="46"/>
      <c r="L67" s="22"/>
      <c r="M67" s="22"/>
      <c r="N67" s="22"/>
    </row>
    <row r="68" spans="1:14" ht="15.75">
      <c r="A68" s="241" t="s">
        <v>307</v>
      </c>
      <c r="B68" s="242"/>
      <c r="C68" s="242"/>
      <c r="D68" s="242"/>
      <c r="E68" s="241" t="s">
        <v>37</v>
      </c>
      <c r="F68" s="243"/>
      <c r="G68" s="242"/>
      <c r="H68" s="243" t="s">
        <v>57</v>
      </c>
      <c r="I68" s="244"/>
      <c r="J68" s="244"/>
      <c r="K68" s="245"/>
      <c r="L68" s="22"/>
      <c r="M68" s="141"/>
      <c r="N68" s="22"/>
    </row>
    <row r="69" spans="1:14" ht="12.75">
      <c r="A69" s="13"/>
      <c r="B69" s="10" t="s">
        <v>49</v>
      </c>
      <c r="C69" s="9"/>
      <c r="D69" s="9"/>
      <c r="E69" s="106"/>
      <c r="F69" s="147"/>
      <c r="G69" s="9"/>
      <c r="H69" s="19" t="s">
        <v>303</v>
      </c>
      <c r="I69" s="18"/>
      <c r="J69" s="18"/>
      <c r="K69" s="79"/>
      <c r="L69" s="22"/>
      <c r="M69" s="56"/>
      <c r="N69" s="22"/>
    </row>
    <row r="70" spans="1:14" ht="15.75">
      <c r="A70" s="13"/>
      <c r="B70" s="9" t="s">
        <v>308</v>
      </c>
      <c r="C70" s="320">
        <f>405*36/23804</f>
        <v>0.612502100487313</v>
      </c>
      <c r="D70" s="9" t="s">
        <v>312</v>
      </c>
      <c r="E70" s="106">
        <f>E59*C70</f>
        <v>44861.47464487439</v>
      </c>
      <c r="F70" s="39" t="s">
        <v>326</v>
      </c>
      <c r="G70" s="9"/>
      <c r="H70" s="45" t="s">
        <v>88</v>
      </c>
      <c r="I70" s="45" t="s">
        <v>89</v>
      </c>
      <c r="J70" s="45" t="s">
        <v>90</v>
      </c>
      <c r="K70" s="80" t="s">
        <v>91</v>
      </c>
      <c r="L70" s="22"/>
      <c r="M70" s="142"/>
      <c r="N70" s="22"/>
    </row>
    <row r="71" spans="1:14" ht="15.75">
      <c r="A71" s="84"/>
      <c r="B71" s="85" t="s">
        <v>309</v>
      </c>
      <c r="C71" s="320">
        <f>1-C70</f>
        <v>0.387497899512687</v>
      </c>
      <c r="D71" s="9" t="s">
        <v>339</v>
      </c>
      <c r="E71" s="124">
        <f>E60*C70</f>
        <v>0.6064377232547653</v>
      </c>
      <c r="F71" s="85" t="s">
        <v>296</v>
      </c>
      <c r="G71" s="9"/>
      <c r="H71" s="9"/>
      <c r="I71" s="9"/>
      <c r="J71" s="9"/>
      <c r="K71" s="81"/>
      <c r="L71" s="22"/>
      <c r="M71" s="22"/>
      <c r="N71" s="22"/>
    </row>
    <row r="72" spans="1:14" ht="12.75">
      <c r="A72" s="84"/>
      <c r="B72" s="85"/>
      <c r="C72" s="86"/>
      <c r="D72" s="85"/>
      <c r="E72" s="84"/>
      <c r="F72" s="9"/>
      <c r="G72" s="9"/>
      <c r="H72" s="9"/>
      <c r="I72" s="9"/>
      <c r="J72" s="9"/>
      <c r="K72" s="81"/>
      <c r="L72" s="22"/>
      <c r="M72" s="22"/>
      <c r="N72" s="22"/>
    </row>
    <row r="73" spans="1:14" ht="12.75">
      <c r="A73" s="13"/>
      <c r="B73" s="10" t="s">
        <v>50</v>
      </c>
      <c r="C73" s="9"/>
      <c r="D73" s="9"/>
      <c r="E73" s="38"/>
      <c r="F73" s="9"/>
      <c r="G73" s="9"/>
      <c r="H73" s="9"/>
      <c r="I73" s="9"/>
      <c r="J73" s="9"/>
      <c r="K73" s="81"/>
      <c r="L73" s="22"/>
      <c r="M73" s="22"/>
      <c r="N73" s="22"/>
    </row>
    <row r="74" spans="1:14" ht="15.75">
      <c r="A74" s="13"/>
      <c r="B74" s="9" t="s">
        <v>237</v>
      </c>
      <c r="C74" s="320">
        <f>1.4*34*3.6/(405*36)</f>
        <v>0.011753086419753086</v>
      </c>
      <c r="D74" s="9" t="s">
        <v>313</v>
      </c>
      <c r="E74" s="13"/>
      <c r="F74" s="9"/>
      <c r="G74" s="9"/>
      <c r="H74" s="76">
        <f>$C74*$E$71*VLOOKUP($B74,'Standard values'!$C$8:$R$131,6,FALSE)/$E$184</f>
        <v>1.4707548533120933</v>
      </c>
      <c r="I74" s="76">
        <f>$C74*$E$71*VLOOKUP($B74,'Standard values'!$C$8:$R$131,7,FALSE)/$E$184</f>
        <v>0.003586666002920484</v>
      </c>
      <c r="J74" s="76">
        <f>$C74*$E$71*VLOOKUP($B74,'Standard values'!$C$8:$R$131,8,FALSE)/$E$184</f>
        <v>6.640072569582724E-05</v>
      </c>
      <c r="K74" s="91">
        <f>H74*'Standard values'!$G$9+I74*'Standard values'!$G$10+J74*'Standard values'!$G$11</f>
        <v>1.5729027861852294</v>
      </c>
      <c r="L74" s="22"/>
      <c r="M74" s="143"/>
      <c r="N74" s="22"/>
    </row>
    <row r="75" spans="1:14" ht="15.75">
      <c r="A75" s="13"/>
      <c r="B75" s="9" t="s">
        <v>25</v>
      </c>
      <c r="C75" s="320">
        <f>1.4*580/(405*36)</f>
        <v>0.05569272976680384</v>
      </c>
      <c r="D75" s="9" t="s">
        <v>313</v>
      </c>
      <c r="E75" s="13"/>
      <c r="F75" s="9"/>
      <c r="G75" s="9"/>
      <c r="H75" s="76">
        <f>$C75*$E$71*VLOOKUP($B75,'Standard values'!$C$8:$R$131,6,FALSE)/$E$184</f>
        <v>4.224177511320559</v>
      </c>
      <c r="I75" s="76">
        <f>$C75*$E$71*VLOOKUP($B75,'Standard values'!$C$8:$R$131,7,FALSE)/$E$184</f>
        <v>0.01335636946270429</v>
      </c>
      <c r="J75" s="76">
        <f>$C75*$E$71*VLOOKUP($B75,'Standard values'!$C$8:$R$131,8,FALSE)/$E$184</f>
        <v>8.558459923114699E-05</v>
      </c>
      <c r="K75" s="91">
        <f>H75*'Standard values'!$G$9+I75*'Standard values'!$G$10+J75*'Standard values'!$G$11</f>
        <v>4.556707050335177</v>
      </c>
      <c r="L75" s="22"/>
      <c r="M75" s="143"/>
      <c r="N75" s="22"/>
    </row>
    <row r="76" spans="1:14" ht="12.75">
      <c r="A76" s="13"/>
      <c r="B76" s="9"/>
      <c r="C76" s="39"/>
      <c r="D76" s="9"/>
      <c r="E76" s="13"/>
      <c r="F76" s="9"/>
      <c r="G76" s="9"/>
      <c r="H76" s="76"/>
      <c r="I76" s="76"/>
      <c r="J76" s="76"/>
      <c r="K76" s="91"/>
      <c r="L76" s="22"/>
      <c r="M76" s="143"/>
      <c r="N76" s="22"/>
    </row>
    <row r="77" spans="1:14" ht="12.75">
      <c r="A77" s="13"/>
      <c r="B77" s="10" t="s">
        <v>310</v>
      </c>
      <c r="C77" s="39"/>
      <c r="D77" s="9"/>
      <c r="E77" s="13"/>
      <c r="F77" s="9"/>
      <c r="G77" s="9"/>
      <c r="H77" s="76"/>
      <c r="I77" s="76"/>
      <c r="J77" s="76"/>
      <c r="K77" s="91"/>
      <c r="L77" s="22"/>
      <c r="M77" s="143"/>
      <c r="N77" s="22"/>
    </row>
    <row r="78" spans="1:14" ht="15.75">
      <c r="A78" s="13"/>
      <c r="B78" s="147" t="s">
        <v>142</v>
      </c>
      <c r="C78" s="320">
        <f>1.4*1*12.53*3.6/(405*36)</f>
        <v>0.004331358024691358</v>
      </c>
      <c r="D78" s="9" t="s">
        <v>313</v>
      </c>
      <c r="E78" s="13"/>
      <c r="F78" s="9"/>
      <c r="G78" s="9"/>
      <c r="H78" s="76">
        <f>$C78*$E$71*VLOOKUP($B78,'Standard values'!$C$8:$R$131,6,FALSE)/$E$184</f>
        <v>0.3636536008230452</v>
      </c>
      <c r="I78" s="76">
        <f>$C78*$E$71*VLOOKUP($B78,'Standard values'!$C$8:$R$131,7,FALSE)/$E$184</f>
        <v>6.609590247356078E-05</v>
      </c>
      <c r="J78" s="76">
        <f>$C78*$E$71*VLOOKUP($B78,'Standard values'!$C$8:$R$131,8,FALSE)/$E$184</f>
        <v>1.2613721846099385E-06</v>
      </c>
      <c r="K78" s="91">
        <f>H78*'Standard values'!$G$9+I78*'Standard values'!$G$10+J78*'Standard values'!$G$11</f>
        <v>0.3655471727465816</v>
      </c>
      <c r="L78" s="22"/>
      <c r="M78" s="143"/>
      <c r="N78" s="22"/>
    </row>
    <row r="79" spans="1:14" ht="12.75">
      <c r="A79" s="13"/>
      <c r="B79" s="9"/>
      <c r="C79" s="39"/>
      <c r="D79" s="39"/>
      <c r="E79" s="107"/>
      <c r="F79" s="9"/>
      <c r="G79" s="9"/>
      <c r="H79" s="88">
        <f>SUM(H71:H78)</f>
        <v>6.0585859654556975</v>
      </c>
      <c r="I79" s="88">
        <f>SUM(I71:I78)</f>
        <v>0.017009131368098333</v>
      </c>
      <c r="J79" s="88">
        <f>SUM(J71:J78)</f>
        <v>0.00015324669711158417</v>
      </c>
      <c r="K79" s="118">
        <f>H79*'Standard values'!$G$9+I79*'Standard values'!$G$10+J79*'Standard values'!$G$11</f>
        <v>6.495157009266988</v>
      </c>
      <c r="L79" s="22"/>
      <c r="M79" s="144"/>
      <c r="N79" s="22"/>
    </row>
    <row r="80" spans="1:14" ht="12.75">
      <c r="A80" s="13"/>
      <c r="B80" s="89"/>
      <c r="C80" s="39"/>
      <c r="D80" s="39"/>
      <c r="E80" s="13"/>
      <c r="F80" s="9"/>
      <c r="G80" s="9"/>
      <c r="H80" s="9"/>
      <c r="I80" s="9"/>
      <c r="J80" s="9"/>
      <c r="K80" s="81"/>
      <c r="L80" s="22"/>
      <c r="M80" s="22"/>
      <c r="N80" s="22"/>
    </row>
    <row r="81" spans="1:14" ht="15.75">
      <c r="A81" s="233"/>
      <c r="B81" s="234"/>
      <c r="C81" s="234"/>
      <c r="D81" s="234"/>
      <c r="E81" s="233"/>
      <c r="F81" s="235"/>
      <c r="G81" s="235" t="s">
        <v>60</v>
      </c>
      <c r="H81" s="234"/>
      <c r="I81" s="237" t="s">
        <v>304</v>
      </c>
      <c r="J81" s="240"/>
      <c r="K81" s="239">
        <f>K79</f>
        <v>6.495157009266988</v>
      </c>
      <c r="L81" s="22"/>
      <c r="M81" s="22"/>
      <c r="N81" s="22"/>
    </row>
    <row r="82" spans="1:14" ht="12.75">
      <c r="A82" s="11"/>
      <c r="B82" s="11"/>
      <c r="C82" s="11"/>
      <c r="D82" s="11"/>
      <c r="E82" s="11"/>
      <c r="F82" s="47"/>
      <c r="G82" s="47"/>
      <c r="H82" s="11"/>
      <c r="I82" s="48"/>
      <c r="J82" s="49"/>
      <c r="K82" s="59"/>
      <c r="L82" s="22"/>
      <c r="M82" s="11"/>
      <c r="N82" s="11"/>
    </row>
    <row r="83" spans="1:14" ht="12.75">
      <c r="A83" s="11"/>
      <c r="B83" s="11"/>
      <c r="C83" s="11"/>
      <c r="D83" s="11"/>
      <c r="E83" s="11"/>
      <c r="F83" s="47"/>
      <c r="G83" s="47"/>
      <c r="H83" s="11"/>
      <c r="I83" s="48"/>
      <c r="J83" s="49"/>
      <c r="K83" s="59"/>
      <c r="L83" s="22"/>
      <c r="M83" s="11"/>
      <c r="N83" s="11"/>
    </row>
    <row r="84" spans="1:14" ht="15.75">
      <c r="A84" s="241" t="s">
        <v>92</v>
      </c>
      <c r="B84" s="242"/>
      <c r="C84" s="242"/>
      <c r="D84" s="242"/>
      <c r="E84" s="247" t="s">
        <v>51</v>
      </c>
      <c r="F84" s="248"/>
      <c r="G84" s="248"/>
      <c r="H84" s="249"/>
      <c r="I84" s="247" t="s">
        <v>83</v>
      </c>
      <c r="J84" s="249"/>
      <c r="K84" s="250">
        <f>K44+K55+K65+K81</f>
        <v>55.86085812075614</v>
      </c>
      <c r="L84" s="22"/>
      <c r="M84" s="11"/>
      <c r="N84" s="11"/>
    </row>
    <row r="85" spans="1:14" ht="15.75">
      <c r="A85" s="251" t="s">
        <v>58</v>
      </c>
      <c r="B85" s="252"/>
      <c r="C85" s="252"/>
      <c r="D85" s="252"/>
      <c r="E85" s="253"/>
      <c r="F85" s="253"/>
      <c r="G85" s="253"/>
      <c r="H85" s="253"/>
      <c r="I85" s="253"/>
      <c r="J85" s="253"/>
      <c r="K85" s="254"/>
      <c r="L85" s="22"/>
      <c r="M85" s="11"/>
      <c r="N85" s="11"/>
    </row>
    <row r="86" spans="1:14" ht="15.75">
      <c r="A86" s="13"/>
      <c r="B86" s="9"/>
      <c r="C86" s="9"/>
      <c r="D86" s="23"/>
      <c r="E86" s="23"/>
      <c r="F86" s="23"/>
      <c r="G86" s="23" t="s">
        <v>340</v>
      </c>
      <c r="H86" s="88">
        <f>K84</f>
        <v>55.86085812075614</v>
      </c>
      <c r="I86" s="9" t="s">
        <v>273</v>
      </c>
      <c r="J86" s="9"/>
      <c r="K86" s="95"/>
      <c r="L86" s="22"/>
      <c r="M86" s="11"/>
      <c r="N86" s="11"/>
    </row>
    <row r="87" spans="1:14" ht="15.75">
      <c r="A87" s="13"/>
      <c r="B87" s="9" t="s">
        <v>238</v>
      </c>
      <c r="C87" s="9" t="s">
        <v>308</v>
      </c>
      <c r="D87" s="9"/>
      <c r="E87" s="23" t="s">
        <v>332</v>
      </c>
      <c r="F87" s="326">
        <v>1</v>
      </c>
      <c r="G87" s="9" t="s">
        <v>30</v>
      </c>
      <c r="H87" s="76">
        <f>$H$86*F87/F$89</f>
        <v>34.21489293398691</v>
      </c>
      <c r="I87" s="9" t="s">
        <v>273</v>
      </c>
      <c r="J87" s="9"/>
      <c r="K87" s="95"/>
      <c r="L87" s="22"/>
      <c r="M87" s="11"/>
      <c r="N87" s="11"/>
    </row>
    <row r="88" spans="1:14" ht="15.75">
      <c r="A88" s="13"/>
      <c r="B88" s="9" t="s">
        <v>239</v>
      </c>
      <c r="C88" s="9" t="s">
        <v>331</v>
      </c>
      <c r="D88" s="9"/>
      <c r="E88" s="23" t="s">
        <v>338</v>
      </c>
      <c r="F88" s="326">
        <f>C71/C70</f>
        <v>0.632647462277092</v>
      </c>
      <c r="G88" s="9" t="s">
        <v>30</v>
      </c>
      <c r="H88" s="76">
        <f>$H$86*F88/F$89</f>
        <v>21.645965186769228</v>
      </c>
      <c r="I88" s="9" t="s">
        <v>273</v>
      </c>
      <c r="J88" s="9"/>
      <c r="K88" s="95"/>
      <c r="L88" s="22"/>
      <c r="M88" s="11"/>
      <c r="N88" s="11"/>
    </row>
    <row r="89" spans="1:14" ht="12.75">
      <c r="A89" s="13"/>
      <c r="B89" s="9"/>
      <c r="C89" s="9"/>
      <c r="D89" s="9"/>
      <c r="E89" s="9" t="s">
        <v>59</v>
      </c>
      <c r="F89" s="326">
        <f>SUM(F87:F88)</f>
        <v>1.6326474622770921</v>
      </c>
      <c r="G89" s="9" t="s">
        <v>30</v>
      </c>
      <c r="H89" s="9"/>
      <c r="I89" s="9"/>
      <c r="J89" s="9"/>
      <c r="K89" s="95"/>
      <c r="L89" s="22"/>
      <c r="M89" s="11"/>
      <c r="N89" s="11"/>
    </row>
    <row r="90" spans="1:14" ht="15.75">
      <c r="A90" s="233"/>
      <c r="B90" s="234"/>
      <c r="C90" s="234"/>
      <c r="D90" s="234"/>
      <c r="E90" s="237" t="s">
        <v>93</v>
      </c>
      <c r="F90" s="235"/>
      <c r="G90" s="260"/>
      <c r="H90" s="234"/>
      <c r="I90" s="237" t="s">
        <v>304</v>
      </c>
      <c r="J90" s="260"/>
      <c r="K90" s="239">
        <f>H87</f>
        <v>34.21489293398691</v>
      </c>
      <c r="L90" s="22"/>
      <c r="M90" s="22"/>
      <c r="N90" s="22"/>
    </row>
    <row r="91" spans="1:14" ht="12.75">
      <c r="A91" s="11"/>
      <c r="B91" s="11"/>
      <c r="C91" s="11"/>
      <c r="D91" s="22"/>
      <c r="E91" s="22"/>
      <c r="F91" s="49"/>
      <c r="G91" s="66"/>
      <c r="H91" s="56"/>
      <c r="I91" s="22"/>
      <c r="J91" s="22"/>
      <c r="K91" s="71"/>
      <c r="L91" s="22"/>
      <c r="M91" s="22"/>
      <c r="N91" s="22"/>
    </row>
    <row r="92" spans="1:14" ht="12.75">
      <c r="A92" s="11"/>
      <c r="B92" s="11"/>
      <c r="C92" s="11"/>
      <c r="D92" s="22"/>
      <c r="E92" s="22"/>
      <c r="F92" s="49"/>
      <c r="G92" s="66"/>
      <c r="H92" s="56"/>
      <c r="I92" s="22"/>
      <c r="J92" s="22"/>
      <c r="K92" s="71"/>
      <c r="L92" s="22"/>
      <c r="M92" s="22"/>
      <c r="N92" s="22"/>
    </row>
    <row r="93" spans="1:14" ht="15.75">
      <c r="A93" s="241" t="s">
        <v>311</v>
      </c>
      <c r="B93" s="242"/>
      <c r="C93" s="242"/>
      <c r="D93" s="242"/>
      <c r="E93" s="241" t="s">
        <v>37</v>
      </c>
      <c r="F93" s="243"/>
      <c r="G93" s="242"/>
      <c r="H93" s="243" t="s">
        <v>57</v>
      </c>
      <c r="I93" s="244"/>
      <c r="J93" s="244"/>
      <c r="K93" s="245"/>
      <c r="L93" s="22"/>
      <c r="M93" s="141"/>
      <c r="N93" s="22"/>
    </row>
    <row r="94" spans="1:14" ht="12.75">
      <c r="A94" s="13"/>
      <c r="B94" s="10" t="s">
        <v>49</v>
      </c>
      <c r="C94" s="9"/>
      <c r="D94" s="9"/>
      <c r="E94" s="106"/>
      <c r="F94" s="39"/>
      <c r="G94" s="9"/>
      <c r="H94" s="19" t="s">
        <v>303</v>
      </c>
      <c r="I94" s="18"/>
      <c r="J94" s="18"/>
      <c r="K94" s="79"/>
      <c r="L94" s="22"/>
      <c r="M94" s="56"/>
      <c r="N94" s="22"/>
    </row>
    <row r="95" spans="1:14" ht="15.75">
      <c r="A95" s="13"/>
      <c r="B95" s="9" t="s">
        <v>308</v>
      </c>
      <c r="C95" s="290">
        <f>1/(1000/960)</f>
        <v>0.96</v>
      </c>
      <c r="D95" s="9" t="s">
        <v>314</v>
      </c>
      <c r="E95" s="106">
        <f>E70*C95</f>
        <v>43067.015659079414</v>
      </c>
      <c r="F95" s="39" t="s">
        <v>326</v>
      </c>
      <c r="G95" s="9"/>
      <c r="H95" s="45" t="s">
        <v>88</v>
      </c>
      <c r="I95" s="45" t="s">
        <v>89</v>
      </c>
      <c r="J95" s="45" t="s">
        <v>90</v>
      </c>
      <c r="K95" s="80" t="s">
        <v>91</v>
      </c>
      <c r="L95" s="22"/>
      <c r="M95" s="142"/>
      <c r="N95" s="22"/>
    </row>
    <row r="96" spans="1:14" ht="15.75">
      <c r="A96" s="84"/>
      <c r="B96" s="85"/>
      <c r="C96" s="86"/>
      <c r="D96" s="85"/>
      <c r="E96" s="124">
        <f>E71*C95</f>
        <v>0.5821802143245747</v>
      </c>
      <c r="F96" s="85" t="s">
        <v>296</v>
      </c>
      <c r="G96" s="9"/>
      <c r="H96" s="9"/>
      <c r="I96" s="9"/>
      <c r="J96" s="9"/>
      <c r="K96" s="81"/>
      <c r="L96" s="22"/>
      <c r="M96" s="22"/>
      <c r="N96" s="22"/>
    </row>
    <row r="97" spans="1:14" ht="12.75">
      <c r="A97" s="84"/>
      <c r="B97" s="10" t="s">
        <v>50</v>
      </c>
      <c r="C97" s="9"/>
      <c r="D97" s="85"/>
      <c r="E97" s="84"/>
      <c r="F97" s="9"/>
      <c r="G97" s="9"/>
      <c r="H97" s="9"/>
      <c r="I97" s="9"/>
      <c r="J97" s="9"/>
      <c r="K97" s="81"/>
      <c r="L97" s="22"/>
      <c r="M97" s="22"/>
      <c r="N97" s="22"/>
    </row>
    <row r="98" spans="1:14" ht="15.75">
      <c r="A98" s="13"/>
      <c r="B98" s="9" t="s">
        <v>237</v>
      </c>
      <c r="C98" s="320">
        <f>1.4*0.0006</f>
        <v>0.0008399999999999999</v>
      </c>
      <c r="D98" s="9" t="s">
        <v>313</v>
      </c>
      <c r="E98" s="38"/>
      <c r="F98" s="9"/>
      <c r="G98" s="9"/>
      <c r="H98" s="76">
        <f>$C98*$E$96*VLOOKUP($B98,'Standard values'!$C$8:$R$131,6,FALSE)/$E$184</f>
        <v>0.10091108593548384</v>
      </c>
      <c r="I98" s="76">
        <f>$C98*$E$96*VLOOKUP($B98,'Standard values'!$C$8:$R$131,7,FALSE)/$E$184</f>
        <v>0.0002460874838709677</v>
      </c>
      <c r="J98" s="76">
        <f>$C98*$E$96*VLOOKUP($B98,'Standard values'!$C$8:$R$131,8,FALSE)/$E$184</f>
        <v>4.555870967741934E-06</v>
      </c>
      <c r="K98" s="91">
        <f>H98*'Standard values'!$G$9+I98*'Standard values'!$G$10+J98*'Standard values'!$G$11</f>
        <v>0.10791963587096771</v>
      </c>
      <c r="L98" s="22"/>
      <c r="M98" s="22"/>
      <c r="N98" s="22"/>
    </row>
    <row r="99" spans="1:14" ht="15.75">
      <c r="A99" s="13"/>
      <c r="B99" s="9" t="s">
        <v>25</v>
      </c>
      <c r="C99" s="320">
        <f>1.4*296/36000</f>
        <v>0.01151111111111111</v>
      </c>
      <c r="D99" s="9" t="s">
        <v>313</v>
      </c>
      <c r="E99" s="13"/>
      <c r="F99" s="9"/>
      <c r="G99" s="9"/>
      <c r="H99" s="76">
        <f>$C99*$E$96*VLOOKUP($B99,'Standard values'!$C$8:$R$131,6,FALSE)/$E$184</f>
        <v>0.8381700414738349</v>
      </c>
      <c r="I99" s="76">
        <f>$C99*$E$96*VLOOKUP($B99,'Standard values'!$C$8:$R$131,7,FALSE)/$E$184</f>
        <v>0.002650198462657639</v>
      </c>
      <c r="J99" s="76">
        <f>$C99*$E$96*VLOOKUP($B99,'Standard values'!$C$8:$R$131,8,FALSE)/$E$184</f>
        <v>1.6981873251028806E-05</v>
      </c>
      <c r="K99" s="91">
        <f>H99*'Standard values'!$G$9+I99*'Standard values'!$G$10+J99*'Standard values'!$G$11</f>
        <v>0.9041512405972651</v>
      </c>
      <c r="L99" s="22"/>
      <c r="M99" s="143"/>
      <c r="N99" s="22"/>
    </row>
    <row r="100" spans="1:14" ht="12.75">
      <c r="A100" s="13"/>
      <c r="B100" s="9"/>
      <c r="C100" s="39"/>
      <c r="D100" s="9"/>
      <c r="E100" s="13"/>
      <c r="F100" s="9"/>
      <c r="G100" s="9"/>
      <c r="H100" s="76"/>
      <c r="I100" s="76"/>
      <c r="J100" s="76"/>
      <c r="K100" s="91"/>
      <c r="L100" s="22"/>
      <c r="M100" s="143"/>
      <c r="N100" s="22"/>
    </row>
    <row r="101" spans="1:14" ht="12.75">
      <c r="A101" s="13"/>
      <c r="B101" s="10" t="s">
        <v>310</v>
      </c>
      <c r="C101" s="39"/>
      <c r="D101" s="9"/>
      <c r="E101" s="13"/>
      <c r="F101" s="9"/>
      <c r="G101" s="9"/>
      <c r="H101" s="76"/>
      <c r="I101" s="76"/>
      <c r="J101" s="76"/>
      <c r="K101" s="91"/>
      <c r="L101" s="22"/>
      <c r="M101" s="143"/>
      <c r="N101" s="22"/>
    </row>
    <row r="102" spans="1:14" ht="15.75">
      <c r="A102" s="13"/>
      <c r="B102" s="147" t="s">
        <v>277</v>
      </c>
      <c r="C102" s="320">
        <f>1.4*6/36000</f>
        <v>0.0002333333333333333</v>
      </c>
      <c r="D102" s="9" t="s">
        <v>315</v>
      </c>
      <c r="E102" s="13"/>
      <c r="F102" s="9"/>
      <c r="G102" s="9"/>
      <c r="H102" s="76">
        <f>$C102*$E$96*VLOOKUP($B102,'Standard values'!$C$8:$R$131,2,FALSE)/$E$184</f>
        <v>0.0462632258064516</v>
      </c>
      <c r="I102" s="76">
        <f>$C102*$E$96*VLOOKUP($B102,'Standard values'!$C$8:$R$131,3,FALSE)/$E$184</f>
        <v>8.759483870967738E-06</v>
      </c>
      <c r="J102" s="76">
        <f>$C102*$E$96*VLOOKUP($B102,'Standard values'!$C$8:$R$131,4,FALSE)/$E$184</f>
        <v>1.4794838709677416E-06</v>
      </c>
      <c r="K102" s="91">
        <f>H102*'Standard values'!$G$9+I102*'Standard values'!$G$10+J102*'Standard values'!$G$11</f>
        <v>0.04690262116129031</v>
      </c>
      <c r="L102" s="22"/>
      <c r="M102" s="143"/>
      <c r="N102" s="22"/>
    </row>
    <row r="103" spans="1:14" ht="12.75">
      <c r="A103" s="13"/>
      <c r="B103" s="89"/>
      <c r="C103" s="39"/>
      <c r="D103" s="39"/>
      <c r="E103" s="107"/>
      <c r="F103" s="9"/>
      <c r="G103" s="9"/>
      <c r="H103" s="88">
        <f>SUM(H96:H102)</f>
        <v>0.9853443532157703</v>
      </c>
      <c r="I103" s="88">
        <f>SUM(I96:I102)</f>
        <v>0.0029050454303995743</v>
      </c>
      <c r="J103" s="88">
        <f>SUM(J96:J102)</f>
        <v>2.3017228089738482E-05</v>
      </c>
      <c r="K103" s="118">
        <f>H103*'Standard values'!$G$9+I103*'Standard values'!$G$10+J103*'Standard values'!$G$11</f>
        <v>1.058973497629523</v>
      </c>
      <c r="L103" s="22"/>
      <c r="M103" s="144"/>
      <c r="N103" s="22"/>
    </row>
    <row r="104" spans="1:14" ht="12.75">
      <c r="A104" s="13"/>
      <c r="B104" s="89"/>
      <c r="C104" s="39"/>
      <c r="D104" s="39"/>
      <c r="E104" s="13"/>
      <c r="F104" s="9"/>
      <c r="G104" s="9"/>
      <c r="H104" s="9"/>
      <c r="I104" s="9"/>
      <c r="J104" s="9"/>
      <c r="K104" s="81"/>
      <c r="L104" s="22"/>
      <c r="M104" s="22"/>
      <c r="N104" s="22"/>
    </row>
    <row r="105" spans="1:14" ht="15.75">
      <c r="A105" s="233"/>
      <c r="B105" s="234"/>
      <c r="C105" s="234"/>
      <c r="D105" s="234"/>
      <c r="E105" s="233"/>
      <c r="F105" s="235"/>
      <c r="G105" s="235" t="s">
        <v>60</v>
      </c>
      <c r="H105" s="234"/>
      <c r="I105" s="237" t="s">
        <v>304</v>
      </c>
      <c r="J105" s="240"/>
      <c r="K105" s="239">
        <f>K103</f>
        <v>1.058973497629523</v>
      </c>
      <c r="L105" s="22"/>
      <c r="M105" s="22"/>
      <c r="N105" s="22"/>
    </row>
    <row r="106" spans="1:14" ht="12.75">
      <c r="A106" s="11"/>
      <c r="B106" s="11"/>
      <c r="C106" s="11"/>
      <c r="D106" s="22"/>
      <c r="E106" s="22"/>
      <c r="F106" s="49"/>
      <c r="G106" s="66"/>
      <c r="H106" s="56"/>
      <c r="I106" s="22"/>
      <c r="J106" s="22"/>
      <c r="K106" s="71"/>
      <c r="L106" s="22"/>
      <c r="M106" s="22"/>
      <c r="N106" s="22"/>
    </row>
    <row r="107" spans="1:14" ht="12.75">
      <c r="A107" s="11"/>
      <c r="B107" s="11"/>
      <c r="C107" s="11"/>
      <c r="D107" s="22"/>
      <c r="E107" s="22"/>
      <c r="F107" s="49"/>
      <c r="G107" s="66"/>
      <c r="H107" s="56"/>
      <c r="I107" s="22"/>
      <c r="J107" s="22"/>
      <c r="K107" s="71"/>
      <c r="L107" s="22"/>
      <c r="M107" s="22"/>
      <c r="N107" s="22"/>
    </row>
    <row r="108" spans="1:14" ht="15.75">
      <c r="A108" s="241" t="s">
        <v>316</v>
      </c>
      <c r="B108" s="242"/>
      <c r="C108" s="242"/>
      <c r="D108" s="242"/>
      <c r="E108" s="241" t="s">
        <v>37</v>
      </c>
      <c r="F108" s="243"/>
      <c r="G108" s="242"/>
      <c r="H108" s="243" t="s">
        <v>57</v>
      </c>
      <c r="I108" s="244"/>
      <c r="J108" s="244"/>
      <c r="K108" s="245"/>
      <c r="L108" s="22"/>
      <c r="M108" s="141"/>
      <c r="N108" s="22"/>
    </row>
    <row r="109" spans="1:14" ht="12.75">
      <c r="A109" s="13"/>
      <c r="B109" s="10" t="s">
        <v>49</v>
      </c>
      <c r="C109" s="9"/>
      <c r="D109" s="9"/>
      <c r="E109" s="106"/>
      <c r="F109" s="39"/>
      <c r="G109" s="9"/>
      <c r="H109" s="19" t="s">
        <v>303</v>
      </c>
      <c r="I109" s="18"/>
      <c r="J109" s="18"/>
      <c r="K109" s="79"/>
      <c r="L109" s="22"/>
      <c r="M109" s="56"/>
      <c r="N109" s="22"/>
    </row>
    <row r="110" spans="1:14" ht="15.75">
      <c r="A110" s="13"/>
      <c r="B110" s="9" t="s">
        <v>129</v>
      </c>
      <c r="C110" s="320">
        <f>37200/37440</f>
        <v>0.9935897435897436</v>
      </c>
      <c r="D110" s="9" t="s">
        <v>320</v>
      </c>
      <c r="E110" s="106">
        <f>E95*C110</f>
        <v>42790.94504588019</v>
      </c>
      <c r="F110" s="39" t="s">
        <v>327</v>
      </c>
      <c r="G110" s="9"/>
      <c r="H110" s="45" t="s">
        <v>88</v>
      </c>
      <c r="I110" s="45" t="s">
        <v>89</v>
      </c>
      <c r="J110" s="45" t="s">
        <v>90</v>
      </c>
      <c r="K110" s="80" t="s">
        <v>91</v>
      </c>
      <c r="L110" s="22"/>
      <c r="M110" s="142"/>
      <c r="N110" s="22"/>
    </row>
    <row r="111" spans="1:14" ht="15.75">
      <c r="A111" s="84"/>
      <c r="B111" s="9" t="s">
        <v>317</v>
      </c>
      <c r="C111" s="316">
        <f>0.8*132</f>
        <v>105.60000000000001</v>
      </c>
      <c r="D111" s="147" t="s">
        <v>321</v>
      </c>
      <c r="E111" s="124">
        <f>E96*C110</f>
        <v>0.5784482898737762</v>
      </c>
      <c r="F111" s="85" t="s">
        <v>296</v>
      </c>
      <c r="G111" s="9"/>
      <c r="H111" s="9"/>
      <c r="I111" s="9"/>
      <c r="J111" s="9"/>
      <c r="K111" s="81"/>
      <c r="L111" s="22"/>
      <c r="M111" s="22"/>
      <c r="N111" s="22"/>
    </row>
    <row r="112" spans="1:14" ht="12.75">
      <c r="A112" s="84"/>
      <c r="B112" s="85"/>
      <c r="C112" s="86"/>
      <c r="D112" s="85"/>
      <c r="E112" s="84"/>
      <c r="F112" s="9"/>
      <c r="G112" s="9"/>
      <c r="H112" s="9"/>
      <c r="I112" s="9"/>
      <c r="J112" s="9"/>
      <c r="K112" s="81"/>
      <c r="L112" s="22"/>
      <c r="M112" s="22"/>
      <c r="N112" s="22"/>
    </row>
    <row r="113" spans="1:14" ht="12.75">
      <c r="A113" s="13"/>
      <c r="B113" s="10" t="s">
        <v>50</v>
      </c>
      <c r="C113" s="9"/>
      <c r="D113" s="9"/>
      <c r="E113" s="38"/>
      <c r="F113" s="9"/>
      <c r="G113" s="9"/>
      <c r="H113" s="9"/>
      <c r="I113" s="9"/>
      <c r="J113" s="9"/>
      <c r="K113" s="81"/>
      <c r="L113" s="22"/>
      <c r="M113" s="22"/>
      <c r="N113" s="22"/>
    </row>
    <row r="114" spans="1:14" ht="15.75">
      <c r="A114" s="13"/>
      <c r="B114" s="9" t="s">
        <v>237</v>
      </c>
      <c r="C114" s="320">
        <f>1.4*30*3.6/37200</f>
        <v>0.004064516129032259</v>
      </c>
      <c r="D114" s="9" t="s">
        <v>322</v>
      </c>
      <c r="E114" s="13"/>
      <c r="F114" s="9"/>
      <c r="G114" s="9"/>
      <c r="H114" s="76">
        <f>$C114*$E$111*VLOOKUP($B114,'Standard values'!$C$8:$R$131,6,FALSE)/$E$184</f>
        <v>0.4851494516129033</v>
      </c>
      <c r="I114" s="76">
        <f>$C114*$E$111*VLOOKUP($B114,'Standard values'!$C$8:$R$131,7,FALSE)/$E$184</f>
        <v>0.0011831129032258067</v>
      </c>
      <c r="J114" s="76">
        <f>$C114*$E$111*VLOOKUP($B114,'Standard values'!$C$8:$R$131,8,FALSE)/$E$184</f>
        <v>2.1903225806451618E-05</v>
      </c>
      <c r="K114" s="91">
        <f>H114*'Standard values'!$G$9+I114*'Standard values'!$G$10+J114*'Standard values'!$G$11</f>
        <v>0.5188444032258065</v>
      </c>
      <c r="L114" s="22"/>
      <c r="M114" s="143"/>
      <c r="N114" s="22"/>
    </row>
    <row r="115" spans="1:14" ht="15.75">
      <c r="A115" s="13"/>
      <c r="B115" s="9" t="s">
        <v>25</v>
      </c>
      <c r="C115" s="320">
        <f>1.4*(1360/(990*37.2)+1299/37200)</f>
        <v>0.10058689040947104</v>
      </c>
      <c r="D115" s="9" t="s">
        <v>322</v>
      </c>
      <c r="E115" s="13"/>
      <c r="F115" s="9"/>
      <c r="G115" s="9"/>
      <c r="H115" s="76">
        <f>$C115*$E$111*VLOOKUP($B115,'Standard values'!$C$8:$R$131,6,FALSE)/$E$184</f>
        <v>7.277184236597334</v>
      </c>
      <c r="I115" s="76">
        <f>$C115*$E$111*VLOOKUP($B115,'Standard values'!$C$8:$R$131,7,FALSE)/$E$184</f>
        <v>0.02300962993427236</v>
      </c>
      <c r="J115" s="76">
        <f>$C115*$E$111*VLOOKUP($B115,'Standard values'!$C$8:$R$131,8,FALSE)/$E$184</f>
        <v>0.000147440512324895</v>
      </c>
      <c r="K115" s="91">
        <f>H115*'Standard values'!$G$9+I115*'Standard values'!$G$10+J115*'Standard values'!$G$11</f>
        <v>7.850048116733768</v>
      </c>
      <c r="L115" s="22"/>
      <c r="M115" s="143"/>
      <c r="N115" s="22"/>
    </row>
    <row r="116" spans="1:14" ht="12.75">
      <c r="A116" s="13"/>
      <c r="B116" s="9"/>
      <c r="C116" s="39"/>
      <c r="D116" s="9"/>
      <c r="E116" s="13"/>
      <c r="F116" s="9"/>
      <c r="G116" s="9"/>
      <c r="H116" s="76"/>
      <c r="I116" s="76"/>
      <c r="J116" s="76"/>
      <c r="K116" s="91"/>
      <c r="L116" s="22"/>
      <c r="M116" s="143"/>
      <c r="N116" s="22"/>
    </row>
    <row r="117" spans="1:14" ht="12.75">
      <c r="A117" s="13"/>
      <c r="B117" s="10" t="s">
        <v>310</v>
      </c>
      <c r="C117" s="39"/>
      <c r="D117" s="9"/>
      <c r="E117" s="13"/>
      <c r="F117" s="9"/>
      <c r="G117" s="9"/>
      <c r="H117" s="76"/>
      <c r="I117" s="76"/>
      <c r="J117" s="76"/>
      <c r="K117" s="91"/>
      <c r="L117" s="22"/>
      <c r="M117" s="143"/>
      <c r="N117" s="22"/>
    </row>
    <row r="118" spans="1:14" ht="15.75">
      <c r="A118" s="13"/>
      <c r="B118" s="147" t="s">
        <v>318</v>
      </c>
      <c r="C118" s="321">
        <f>1.4*0.85*2/37200</f>
        <v>6.39784946236559E-05</v>
      </c>
      <c r="D118" s="9" t="s">
        <v>323</v>
      </c>
      <c r="E118" s="13"/>
      <c r="F118" s="9"/>
      <c r="G118" s="9"/>
      <c r="H118" s="76">
        <f>$C118*$E$111*VLOOKUP($B118,'Standard values'!$C$8:$R$131,2,FALSE)/$E$184</f>
        <v>0.17760430107526878</v>
      </c>
      <c r="I118" s="76">
        <f>$C118*$E$111*VLOOKUP($B118,'Standard values'!$C$8:$R$131,3,FALSE)/$E$184</f>
        <v>0.0005711232258064515</v>
      </c>
      <c r="J118" s="76">
        <f>$C118*$E$111*VLOOKUP($B118,'Standard values'!$C$8:$R$131,4,FALSE)/$E$184</f>
        <v>6.576989247311828E-06</v>
      </c>
      <c r="K118" s="91">
        <f>H118*'Standard values'!$G$9+I118*'Standard values'!$G$10+J118*'Standard values'!$G$11</f>
        <v>0.19268692408602148</v>
      </c>
      <c r="L118" s="22"/>
      <c r="M118" s="143"/>
      <c r="N118" s="22"/>
    </row>
    <row r="119" spans="1:14" ht="15.75">
      <c r="A119" s="13"/>
      <c r="B119" s="147" t="s">
        <v>143</v>
      </c>
      <c r="C119" s="321">
        <f>1.4*20/37200</f>
        <v>0.0007526881720430108</v>
      </c>
      <c r="D119" s="9" t="s">
        <v>323</v>
      </c>
      <c r="E119" s="13"/>
      <c r="F119" s="9"/>
      <c r="G119" s="9"/>
      <c r="H119" s="76">
        <f>$C119*$E$111*VLOOKUP($B119,'Standard values'!$C$8:$R$131,2,FALSE)/$E$184</f>
        <v>0.539961935483871</v>
      </c>
      <c r="I119" s="76">
        <f>$C119*$E$111*VLOOKUP($B119,'Standard values'!$C$8:$R$131,3,FALSE)/$E$184</f>
        <v>0.0008497849462365592</v>
      </c>
      <c r="J119" s="76">
        <f>$C119*$E$111*VLOOKUP($B119,'Standard values'!$C$8:$R$131,4,FALSE)/$E$184</f>
        <v>1.9118279569892473E-05</v>
      </c>
      <c r="K119" s="91">
        <f>H119*'Standard values'!$G$9+I119*'Standard values'!$G$10+J119*'Standard values'!$G$11</f>
        <v>0.565166</v>
      </c>
      <c r="L119" s="22"/>
      <c r="M119" s="143"/>
      <c r="N119" s="22"/>
    </row>
    <row r="120" spans="1:14" ht="15.75">
      <c r="A120" s="13"/>
      <c r="B120" s="147" t="s">
        <v>319</v>
      </c>
      <c r="C120" s="321">
        <f>1.4*2.5/37200</f>
        <v>9.408602150537634E-05</v>
      </c>
      <c r="D120" s="9" t="s">
        <v>323</v>
      </c>
      <c r="E120" s="13"/>
      <c r="F120" s="9"/>
      <c r="G120" s="9"/>
      <c r="H120" s="76">
        <f>$C120*$E$111*VLOOKUP($B120,'Standard values'!$C$8:$R$131,2,FALSE)/$E$184</f>
        <v>0.09841397849462366</v>
      </c>
      <c r="I120" s="76">
        <f>$C120*$E$111*VLOOKUP($B120,'Standard values'!$C$8:$R$131,3,FALSE)/$E$184</f>
        <v>0.0005833333333333333</v>
      </c>
      <c r="J120" s="76">
        <f>$C120*$E$111*VLOOKUP($B120,'Standard values'!$C$8:$R$131,4,FALSE)/$E$184</f>
        <v>5.174731182795698E-07</v>
      </c>
      <c r="K120" s="91">
        <f>H120*'Standard values'!$G$9+I120*'Standard values'!$G$10+J120*'Standard values'!$G$11</f>
        <v>0.11198381720430108</v>
      </c>
      <c r="L120" s="22"/>
      <c r="M120" s="143"/>
      <c r="N120" s="22"/>
    </row>
    <row r="121" spans="1:14" ht="15.75">
      <c r="A121" s="13"/>
      <c r="B121" s="147" t="s">
        <v>144</v>
      </c>
      <c r="C121" s="321">
        <f>1.4*0.96*7/37200</f>
        <v>0.0002529032258064516</v>
      </c>
      <c r="D121" s="9" t="s">
        <v>323</v>
      </c>
      <c r="E121" s="13"/>
      <c r="F121" s="9"/>
      <c r="G121" s="9"/>
      <c r="H121" s="76">
        <f>$C121*$E$111*VLOOKUP($B121,'Standard values'!$C$8:$R$131,2,FALSE)/$E$184</f>
        <v>0.11089634477419355</v>
      </c>
      <c r="I121" s="76">
        <f>$C121*$E$111*VLOOKUP($B121,'Standard values'!$C$8:$R$131,3,FALSE)/$E$184</f>
        <v>0.00026051561290322585</v>
      </c>
      <c r="J121" s="76">
        <f>$C121*$E$111*VLOOKUP($B121,'Standard values'!$C$8:$R$131,4,FALSE)/$E$184</f>
        <v>6.069677419354839E-06</v>
      </c>
      <c r="K121" s="91">
        <f>H121*'Standard values'!$G$9+I121*'Standard values'!$G$10+J121*'Standard values'!$G$11</f>
        <v>0.11868482838709678</v>
      </c>
      <c r="L121" s="22"/>
      <c r="M121" s="143"/>
      <c r="N121" s="22"/>
    </row>
    <row r="122" spans="1:14" ht="15.75">
      <c r="A122" s="13"/>
      <c r="B122" s="147" t="s">
        <v>29</v>
      </c>
      <c r="C122" s="320">
        <f>1.4*109*19.95/37200</f>
        <v>0.08183790322580645</v>
      </c>
      <c r="D122" s="9" t="s">
        <v>322</v>
      </c>
      <c r="E122" s="13"/>
      <c r="F122" s="9"/>
      <c r="G122" s="9"/>
      <c r="H122" s="76">
        <f>$C122*$E$111*VLOOKUP($B122,'Standard values'!$C$8:$R$131,6,FALSE)/$E$184</f>
        <v>7.594348278046595</v>
      </c>
      <c r="I122" s="76">
        <f>$C122*$E$111*VLOOKUP($B122,'Standard values'!$C$8:$R$131,7,FALSE)/$E$184</f>
        <v>0.023735265210573474</v>
      </c>
      <c r="J122" s="76">
        <f>$C122*$E$111*VLOOKUP($B122,'Standard values'!$C$8:$R$131,8,FALSE)/$E$184</f>
        <v>2.727930107526881E-05</v>
      </c>
      <c r="K122" s="91">
        <f>H122*'Standard values'!$G$9+I122*'Standard values'!$G$10+J122*'Standard values'!$G$11</f>
        <v>8.148334051008064</v>
      </c>
      <c r="L122" s="22"/>
      <c r="M122" s="143"/>
      <c r="N122" s="22"/>
    </row>
    <row r="123" spans="1:14" ht="12.75">
      <c r="A123" s="13"/>
      <c r="B123" s="89"/>
      <c r="C123" s="39"/>
      <c r="D123" s="39"/>
      <c r="E123" s="107"/>
      <c r="F123" s="9"/>
      <c r="G123" s="9"/>
      <c r="H123" s="88">
        <f>SUM(H111:H122)</f>
        <v>16.28355852608479</v>
      </c>
      <c r="I123" s="88">
        <f>SUM(I111:I122)</f>
        <v>0.05019276516635121</v>
      </c>
      <c r="J123" s="88">
        <f>SUM(J111:J122)</f>
        <v>0.00022890545856145414</v>
      </c>
      <c r="K123" s="118">
        <f>H123*'Standard values'!$G$9+I123*'Standard values'!$G$10+J123*'Standard values'!$G$11</f>
        <v>17.505748140645057</v>
      </c>
      <c r="L123" s="22"/>
      <c r="M123" s="144"/>
      <c r="N123" s="22"/>
    </row>
    <row r="124" spans="1:14" ht="12.75">
      <c r="A124" s="13"/>
      <c r="B124" s="89"/>
      <c r="C124" s="39"/>
      <c r="D124" s="39"/>
      <c r="E124" s="13"/>
      <c r="F124" s="9"/>
      <c r="G124" s="9"/>
      <c r="H124" s="9"/>
      <c r="I124" s="9"/>
      <c r="J124" s="9"/>
      <c r="K124" s="81"/>
      <c r="L124" s="22"/>
      <c r="M124" s="22"/>
      <c r="N124" s="22"/>
    </row>
    <row r="125" spans="1:14" ht="15.75">
      <c r="A125" s="233"/>
      <c r="B125" s="234"/>
      <c r="C125" s="234"/>
      <c r="D125" s="234"/>
      <c r="E125" s="233"/>
      <c r="F125" s="235"/>
      <c r="G125" s="235" t="s">
        <v>60</v>
      </c>
      <c r="H125" s="234"/>
      <c r="I125" s="237" t="s">
        <v>304</v>
      </c>
      <c r="J125" s="240"/>
      <c r="K125" s="239">
        <f>K123</f>
        <v>17.505748140645057</v>
      </c>
      <c r="L125" s="22"/>
      <c r="M125" s="22"/>
      <c r="N125" s="22"/>
    </row>
    <row r="126" spans="1:14" ht="12.75">
      <c r="A126" s="11"/>
      <c r="B126" s="11"/>
      <c r="C126" s="11"/>
      <c r="D126" s="22"/>
      <c r="E126" s="22"/>
      <c r="F126" s="49"/>
      <c r="G126" s="66"/>
      <c r="H126" s="56"/>
      <c r="I126" s="22"/>
      <c r="J126" s="22"/>
      <c r="K126" s="71"/>
      <c r="L126" s="22"/>
      <c r="M126" s="22"/>
      <c r="N126" s="22"/>
    </row>
    <row r="127" spans="1:14" ht="12.75">
      <c r="A127" s="11"/>
      <c r="B127" s="11"/>
      <c r="C127" s="11"/>
      <c r="D127" s="22"/>
      <c r="E127" s="22"/>
      <c r="F127" s="49"/>
      <c r="G127" s="66"/>
      <c r="H127" s="56"/>
      <c r="I127" s="22"/>
      <c r="J127" s="22"/>
      <c r="K127" s="71"/>
      <c r="L127" s="22"/>
      <c r="M127" s="22"/>
      <c r="N127" s="22"/>
    </row>
    <row r="128" spans="1:14" ht="15.75">
      <c r="A128" s="241" t="s">
        <v>92</v>
      </c>
      <c r="B128" s="242"/>
      <c r="C128" s="242"/>
      <c r="D128" s="242"/>
      <c r="E128" s="247" t="s">
        <v>51</v>
      </c>
      <c r="F128" s="248"/>
      <c r="G128" s="248"/>
      <c r="H128" s="249"/>
      <c r="I128" s="247" t="s">
        <v>83</v>
      </c>
      <c r="J128" s="249"/>
      <c r="K128" s="250">
        <f>K90+K105+K125</f>
        <v>52.779614572261494</v>
      </c>
      <c r="L128" s="22"/>
      <c r="M128" s="11"/>
      <c r="N128" s="11"/>
    </row>
    <row r="129" spans="1:14" ht="15.75">
      <c r="A129" s="251" t="s">
        <v>58</v>
      </c>
      <c r="B129" s="252"/>
      <c r="C129" s="252"/>
      <c r="D129" s="252"/>
      <c r="E129" s="253"/>
      <c r="F129" s="253"/>
      <c r="G129" s="253"/>
      <c r="H129" s="253"/>
      <c r="I129" s="253"/>
      <c r="J129" s="253"/>
      <c r="K129" s="254"/>
      <c r="L129" s="22"/>
      <c r="M129" s="11"/>
      <c r="N129" s="11"/>
    </row>
    <row r="130" spans="1:14" ht="15.75">
      <c r="A130" s="6"/>
      <c r="B130" s="1"/>
      <c r="C130" s="1"/>
      <c r="D130" s="69"/>
      <c r="E130" s="69"/>
      <c r="F130" s="69"/>
      <c r="G130" s="69" t="s">
        <v>340</v>
      </c>
      <c r="H130" s="158">
        <f>K128</f>
        <v>52.779614572261494</v>
      </c>
      <c r="I130" s="1" t="s">
        <v>273</v>
      </c>
      <c r="J130" s="1"/>
      <c r="K130" s="7"/>
      <c r="L130" s="22"/>
      <c r="M130" s="11"/>
      <c r="N130" s="11"/>
    </row>
    <row r="131" spans="1:14" ht="15.75">
      <c r="A131" s="6"/>
      <c r="B131" s="1" t="s">
        <v>238</v>
      </c>
      <c r="C131" s="1" t="s">
        <v>129</v>
      </c>
      <c r="D131" s="1"/>
      <c r="E131" s="69" t="s">
        <v>271</v>
      </c>
      <c r="F131" s="70">
        <f>1*1000*VLOOKUP($C131,'Standard values'!$C$8:$R$131,13,FALSE)</f>
        <v>37200</v>
      </c>
      <c r="G131" s="1" t="s">
        <v>30</v>
      </c>
      <c r="H131" s="5">
        <f>$H$130*F131/F$133</f>
        <v>50.48654812824322</v>
      </c>
      <c r="I131" s="1" t="s">
        <v>273</v>
      </c>
      <c r="J131" s="1"/>
      <c r="K131" s="7"/>
      <c r="L131" s="22"/>
      <c r="M131" s="11"/>
      <c r="N131" s="11"/>
    </row>
    <row r="132" spans="1:14" ht="15.75">
      <c r="A132" s="6"/>
      <c r="B132" s="1" t="s">
        <v>239</v>
      </c>
      <c r="C132" s="1" t="s">
        <v>71</v>
      </c>
      <c r="D132" s="1"/>
      <c r="E132" s="69" t="s">
        <v>336</v>
      </c>
      <c r="F132" s="70">
        <f>C111*VLOOKUP($C132,'Standard values'!$C$8:$R$131,13,FALSE)</f>
        <v>1689.6000000000001</v>
      </c>
      <c r="G132" s="1" t="s">
        <v>30</v>
      </c>
      <c r="H132" s="5">
        <f>$H$130*F132/F$133</f>
        <v>2.293066444018273</v>
      </c>
      <c r="I132" s="1" t="s">
        <v>273</v>
      </c>
      <c r="J132" s="1"/>
      <c r="K132" s="7"/>
      <c r="L132" s="22"/>
      <c r="M132" s="11"/>
      <c r="N132" s="11"/>
    </row>
    <row r="133" spans="1:14" ht="12.75">
      <c r="A133" s="6"/>
      <c r="B133" s="1"/>
      <c r="C133" s="1"/>
      <c r="D133" s="1"/>
      <c r="E133" s="1" t="s">
        <v>59</v>
      </c>
      <c r="F133" s="70">
        <f>SUM(F131:F132)</f>
        <v>38889.6</v>
      </c>
      <c r="G133" s="1" t="s">
        <v>30</v>
      </c>
      <c r="H133" s="1"/>
      <c r="I133" s="1"/>
      <c r="J133" s="1"/>
      <c r="K133" s="7"/>
      <c r="L133" s="22"/>
      <c r="M133" s="11"/>
      <c r="N133" s="11"/>
    </row>
    <row r="134" spans="1:14" ht="15.75">
      <c r="A134" s="233"/>
      <c r="B134" s="234"/>
      <c r="C134" s="234"/>
      <c r="D134" s="234"/>
      <c r="E134" s="237" t="s">
        <v>93</v>
      </c>
      <c r="F134" s="235"/>
      <c r="G134" s="260"/>
      <c r="H134" s="234"/>
      <c r="I134" s="237" t="s">
        <v>304</v>
      </c>
      <c r="J134" s="260"/>
      <c r="K134" s="239">
        <f>H131</f>
        <v>50.48654812824322</v>
      </c>
      <c r="L134" s="22"/>
      <c r="M134" s="22"/>
      <c r="N134" s="22"/>
    </row>
    <row r="135" spans="1:14" ht="12.75">
      <c r="A135" s="11"/>
      <c r="B135" s="11"/>
      <c r="C135" s="11"/>
      <c r="D135" s="22"/>
      <c r="E135" s="22"/>
      <c r="F135" s="49"/>
      <c r="G135" s="66"/>
      <c r="H135" s="56"/>
      <c r="I135" s="22"/>
      <c r="J135" s="22"/>
      <c r="K135" s="71"/>
      <c r="L135" s="22"/>
      <c r="M135" s="22"/>
      <c r="N135" s="22"/>
    </row>
    <row r="136" spans="1:14" ht="12.75">
      <c r="A136" s="46"/>
      <c r="B136" s="59"/>
      <c r="C136" s="60"/>
      <c r="D136" s="11"/>
      <c r="E136" s="22"/>
      <c r="F136" s="22"/>
      <c r="G136" s="22"/>
      <c r="H136" s="22"/>
      <c r="I136" s="65"/>
      <c r="J136" s="22"/>
      <c r="K136" s="22"/>
      <c r="L136" s="22"/>
      <c r="M136" s="22"/>
      <c r="N136" s="22"/>
    </row>
    <row r="137" spans="1:14" ht="15.75">
      <c r="A137" s="241" t="s">
        <v>324</v>
      </c>
      <c r="B137" s="243" t="s">
        <v>102</v>
      </c>
      <c r="C137" s="242"/>
      <c r="D137" s="242"/>
      <c r="E137" s="241" t="s">
        <v>37</v>
      </c>
      <c r="F137" s="243"/>
      <c r="G137" s="242"/>
      <c r="H137" s="243" t="s">
        <v>57</v>
      </c>
      <c r="I137" s="244"/>
      <c r="J137" s="244"/>
      <c r="K137" s="245"/>
      <c r="L137" s="22"/>
      <c r="M137" s="141"/>
      <c r="N137" s="22"/>
    </row>
    <row r="138" spans="1:14" ht="15.75">
      <c r="A138" s="13"/>
      <c r="B138" s="10" t="s">
        <v>129</v>
      </c>
      <c r="C138" s="290">
        <v>1</v>
      </c>
      <c r="D138" s="9" t="s">
        <v>325</v>
      </c>
      <c r="E138" s="38">
        <f>E110*C138</f>
        <v>42790.94504588019</v>
      </c>
      <c r="F138" s="39" t="s">
        <v>327</v>
      </c>
      <c r="G138" s="90"/>
      <c r="H138" s="19" t="s">
        <v>303</v>
      </c>
      <c r="I138" s="18"/>
      <c r="J138" s="18"/>
      <c r="K138" s="79"/>
      <c r="L138" s="22"/>
      <c r="M138" s="56"/>
      <c r="N138" s="22"/>
    </row>
    <row r="139" spans="1:14" ht="15.75">
      <c r="A139" s="13"/>
      <c r="B139" s="9"/>
      <c r="C139" s="322"/>
      <c r="D139" s="9"/>
      <c r="E139" s="124">
        <f>E111*C138</f>
        <v>0.5784482898737762</v>
      </c>
      <c r="F139" s="85" t="s">
        <v>296</v>
      </c>
      <c r="G139" s="90"/>
      <c r="H139" s="45" t="s">
        <v>88</v>
      </c>
      <c r="I139" s="45" t="s">
        <v>89</v>
      </c>
      <c r="J139" s="45" t="s">
        <v>90</v>
      </c>
      <c r="K139" s="80" t="s">
        <v>91</v>
      </c>
      <c r="L139" s="22"/>
      <c r="M139" s="142"/>
      <c r="N139" s="22"/>
    </row>
    <row r="140" spans="1:14" ht="12.75">
      <c r="A140" s="13"/>
      <c r="B140" s="10" t="s">
        <v>27</v>
      </c>
      <c r="C140" s="322"/>
      <c r="D140" s="9"/>
      <c r="E140" s="38"/>
      <c r="F140" s="9"/>
      <c r="G140" s="9"/>
      <c r="H140" s="9"/>
      <c r="I140" s="9"/>
      <c r="J140" s="9"/>
      <c r="K140" s="81"/>
      <c r="L140" s="22"/>
      <c r="M140" s="22"/>
      <c r="N140" s="22"/>
    </row>
    <row r="141" spans="1:14" ht="15.75">
      <c r="A141" s="13"/>
      <c r="B141" s="9" t="s">
        <v>249</v>
      </c>
      <c r="C141" s="288">
        <f>2*150</f>
        <v>300</v>
      </c>
      <c r="D141" s="9" t="s">
        <v>34</v>
      </c>
      <c r="E141" s="125">
        <f>(C141*E139/VLOOKUP($B138,'Standard values'!$C$8:$R$131,13,FALSE))/1000</f>
        <v>0.004664905563498195</v>
      </c>
      <c r="F141" s="9" t="s">
        <v>328</v>
      </c>
      <c r="G141" s="9"/>
      <c r="H141" s="76">
        <f>$E141*VLOOKUP($B141,'Standard values'!$C$8:$R$131,14,FALSE)*VLOOKUP(C142,'Standard values'!$C$8:$P$131,6,FALSE)/$E$184</f>
        <v>0.7124193548387097</v>
      </c>
      <c r="I141" s="76">
        <f>$E141*VLOOKUP($B141,'Standard values'!$C$8:$R$131,15,FALSE)/$E$184</f>
        <v>4.032258064516129E-05</v>
      </c>
      <c r="J141" s="76">
        <f>$E141*VLOOKUP($B141,'Standard values'!$C$8:$R$131,16,FALSE)/$E$184</f>
        <v>0</v>
      </c>
      <c r="K141" s="118">
        <f>H141*'Standard values'!$G$9+I141*'Standard values'!$G$10+J141*'Standard values'!$G$11</f>
        <v>0.7133467741935484</v>
      </c>
      <c r="L141" s="22"/>
      <c r="M141" s="22"/>
      <c r="N141" s="22"/>
    </row>
    <row r="142" spans="1:14" ht="12.75">
      <c r="A142" s="13"/>
      <c r="B142" s="23" t="s">
        <v>244</v>
      </c>
      <c r="C142" s="289" t="s">
        <v>33</v>
      </c>
      <c r="D142" s="9"/>
      <c r="E142" s="13"/>
      <c r="F142" s="9"/>
      <c r="G142" s="9"/>
      <c r="H142" s="76"/>
      <c r="I142" s="76"/>
      <c r="J142" s="76"/>
      <c r="K142" s="118"/>
      <c r="L142" s="22"/>
      <c r="M142" s="22"/>
      <c r="N142" s="22"/>
    </row>
    <row r="143" spans="1:14" ht="12.75">
      <c r="A143" s="13"/>
      <c r="B143" s="9"/>
      <c r="C143" s="322"/>
      <c r="D143" s="9"/>
      <c r="E143" s="125"/>
      <c r="F143" s="9"/>
      <c r="G143" s="9"/>
      <c r="H143" s="76"/>
      <c r="I143" s="76"/>
      <c r="J143" s="76"/>
      <c r="K143" s="118"/>
      <c r="L143" s="22"/>
      <c r="M143" s="22"/>
      <c r="N143" s="22"/>
    </row>
    <row r="144" spans="1:14" ht="12.75">
      <c r="A144" s="13"/>
      <c r="B144" s="10" t="s">
        <v>103</v>
      </c>
      <c r="C144" s="322"/>
      <c r="D144" s="9"/>
      <c r="E144" s="13"/>
      <c r="F144" s="9"/>
      <c r="G144" s="9"/>
      <c r="H144" s="76"/>
      <c r="I144" s="76"/>
      <c r="J144" s="76"/>
      <c r="K144" s="87"/>
      <c r="L144" s="22"/>
      <c r="M144" s="22"/>
      <c r="N144" s="22"/>
    </row>
    <row r="145" spans="1:14" ht="15.75">
      <c r="A145" s="82"/>
      <c r="B145" s="9" t="s">
        <v>236</v>
      </c>
      <c r="C145" s="288">
        <v>0.00084</v>
      </c>
      <c r="D145" s="9" t="s">
        <v>322</v>
      </c>
      <c r="E145" s="13"/>
      <c r="F145" s="9"/>
      <c r="G145" s="9"/>
      <c r="H145" s="76">
        <f>$C145*$E$139*VLOOKUP($B145,'Standard values'!$C$8:$R$131,6,FALSE)/$E$184</f>
        <v>0.10146738000000001</v>
      </c>
      <c r="I145" s="76">
        <f>$C145*$E$139*VLOOKUP($B145,'Standard values'!$C$8:$R$131,7,FALSE)/$E$184</f>
        <v>0.00024744999999999997</v>
      </c>
      <c r="J145" s="76">
        <f>$C145*$E$139*VLOOKUP($B145,'Standard values'!$C$8:$R$131,8,FALSE)/$E$184</f>
        <v>4.596666666666667E-06</v>
      </c>
      <c r="K145" s="118">
        <f>H145*'Standard values'!$G$9+I145*'Standard values'!$G$10+J145*'Standard values'!$G$11</f>
        <v>0.10851934333333334</v>
      </c>
      <c r="L145" s="22"/>
      <c r="M145" s="144"/>
      <c r="N145" s="22"/>
    </row>
    <row r="146" spans="1:14" ht="15.75">
      <c r="A146" s="233"/>
      <c r="B146" s="234"/>
      <c r="C146" s="234"/>
      <c r="D146" s="234"/>
      <c r="E146" s="233"/>
      <c r="F146" s="235"/>
      <c r="G146" s="235" t="s">
        <v>60</v>
      </c>
      <c r="H146" s="234"/>
      <c r="I146" s="237" t="s">
        <v>304</v>
      </c>
      <c r="J146" s="240"/>
      <c r="K146" s="239">
        <f>K145+K141</f>
        <v>0.8218661175268818</v>
      </c>
      <c r="L146" s="22"/>
      <c r="M146" s="144"/>
      <c r="N146" s="22"/>
    </row>
    <row r="147" spans="1:14" ht="12.75">
      <c r="A147" s="11"/>
      <c r="B147" s="11"/>
      <c r="C147" s="11"/>
      <c r="D147" s="11"/>
      <c r="E147" s="11"/>
      <c r="F147" s="47"/>
      <c r="G147" s="47"/>
      <c r="H147" s="11"/>
      <c r="I147" s="48"/>
      <c r="J147" s="49"/>
      <c r="K147" s="50"/>
      <c r="L147" s="22"/>
      <c r="M147" s="22"/>
      <c r="N147" s="22"/>
    </row>
    <row r="148" spans="1:14" ht="12.75">
      <c r="A148" s="11"/>
      <c r="B148" s="11"/>
      <c r="C148" s="11"/>
      <c r="D148" s="11"/>
      <c r="E148" s="11"/>
      <c r="F148" s="47"/>
      <c r="G148" s="47"/>
      <c r="H148" s="11"/>
      <c r="I148" s="48"/>
      <c r="J148" s="49"/>
      <c r="K148" s="50"/>
      <c r="L148" s="22"/>
      <c r="M148" s="22"/>
      <c r="N148" s="22"/>
    </row>
    <row r="149" spans="1:14" ht="15.75">
      <c r="A149" s="241" t="s">
        <v>94</v>
      </c>
      <c r="B149" s="242"/>
      <c r="C149" s="242"/>
      <c r="D149" s="242"/>
      <c r="E149" s="241" t="s">
        <v>37</v>
      </c>
      <c r="F149" s="242"/>
      <c r="G149" s="242"/>
      <c r="H149" s="242"/>
      <c r="I149" s="242"/>
      <c r="J149" s="242"/>
      <c r="K149" s="255"/>
      <c r="L149" s="22"/>
      <c r="M149" s="141"/>
      <c r="N149" s="22"/>
    </row>
    <row r="150" spans="1:14" ht="15.75">
      <c r="A150" s="13"/>
      <c r="B150" s="10" t="s">
        <v>49</v>
      </c>
      <c r="C150" s="291">
        <v>1</v>
      </c>
      <c r="D150" s="9" t="s">
        <v>325</v>
      </c>
      <c r="E150" s="38">
        <f>E138*C150</f>
        <v>42790.94504588019</v>
      </c>
      <c r="F150" s="39" t="s">
        <v>327</v>
      </c>
      <c r="G150" s="9"/>
      <c r="H150" s="19" t="s">
        <v>303</v>
      </c>
      <c r="I150" s="18"/>
      <c r="J150" s="18"/>
      <c r="K150" s="79"/>
      <c r="L150" s="22"/>
      <c r="M150" s="56"/>
      <c r="N150" s="22"/>
    </row>
    <row r="151" spans="1:14" ht="15.75">
      <c r="A151" s="13"/>
      <c r="B151" s="9"/>
      <c r="C151" s="322"/>
      <c r="D151" s="9"/>
      <c r="E151" s="124">
        <f>E139*C150</f>
        <v>0.5784482898737762</v>
      </c>
      <c r="F151" s="85" t="s">
        <v>296</v>
      </c>
      <c r="G151" s="9"/>
      <c r="H151" s="45" t="s">
        <v>88</v>
      </c>
      <c r="I151" s="45" t="s">
        <v>89</v>
      </c>
      <c r="J151" s="45" t="s">
        <v>90</v>
      </c>
      <c r="K151" s="80" t="s">
        <v>91</v>
      </c>
      <c r="L151" s="22"/>
      <c r="M151" s="142"/>
      <c r="N151" s="22"/>
    </row>
    <row r="152" spans="1:14" ht="12.75">
      <c r="A152" s="13"/>
      <c r="B152" s="10" t="s">
        <v>50</v>
      </c>
      <c r="C152" s="322"/>
      <c r="D152" s="9"/>
      <c r="E152" s="13"/>
      <c r="F152" s="9"/>
      <c r="G152" s="9"/>
      <c r="H152" s="76"/>
      <c r="I152" s="76"/>
      <c r="J152" s="76"/>
      <c r="K152" s="87"/>
      <c r="L152" s="22"/>
      <c r="M152" s="22"/>
      <c r="N152" s="22"/>
    </row>
    <row r="153" spans="1:14" ht="15.75">
      <c r="A153" s="13"/>
      <c r="B153" s="9" t="s">
        <v>236</v>
      </c>
      <c r="C153" s="292">
        <v>0.0034</v>
      </c>
      <c r="D153" s="9" t="s">
        <v>322</v>
      </c>
      <c r="E153" s="13"/>
      <c r="F153" s="9"/>
      <c r="G153" s="9"/>
      <c r="H153" s="76">
        <f>$C153*$E$139*VLOOKUP($B153,'Standard values'!$C$8:$R$131,6,FALSE)/$E$184</f>
        <v>0.4107013</v>
      </c>
      <c r="I153" s="76">
        <f>$C153*$E$139*VLOOKUP($B153,'Standard values'!$C$8:$R$131,7,FALSE)/$E$184</f>
        <v>0.0010015833333333333</v>
      </c>
      <c r="J153" s="76">
        <f>$C153*$E$139*VLOOKUP($B153,'Standard values'!$C$8:$R$131,8,FALSE)/$E$184</f>
        <v>1.8605555555555555E-05</v>
      </c>
      <c r="K153" s="118">
        <f>H153*'Standard values'!$G$9+I153*'Standard values'!$G$10+J153*'Standard values'!$G$11</f>
        <v>0.4392449611111111</v>
      </c>
      <c r="L153" s="22"/>
      <c r="M153" s="144"/>
      <c r="N153" s="22"/>
    </row>
    <row r="154" spans="1:14" ht="15.75">
      <c r="A154" s="233"/>
      <c r="B154" s="234"/>
      <c r="C154" s="234"/>
      <c r="D154" s="234"/>
      <c r="E154" s="233"/>
      <c r="F154" s="235"/>
      <c r="G154" s="235" t="s">
        <v>60</v>
      </c>
      <c r="H154" s="234"/>
      <c r="I154" s="237" t="s">
        <v>304</v>
      </c>
      <c r="J154" s="240"/>
      <c r="K154" s="239">
        <f>K153</f>
        <v>0.4392449611111111</v>
      </c>
      <c r="L154" s="22"/>
      <c r="M154" s="22"/>
      <c r="N154" s="22"/>
    </row>
    <row r="155" spans="1:14" ht="12.75">
      <c r="A155" s="11"/>
      <c r="B155" s="11"/>
      <c r="C155" s="11"/>
      <c r="D155" s="11"/>
      <c r="E155" s="11"/>
      <c r="F155" s="47"/>
      <c r="G155" s="47"/>
      <c r="H155" s="11"/>
      <c r="I155" s="48"/>
      <c r="J155" s="49"/>
      <c r="K155" s="72"/>
      <c r="L155" s="22"/>
      <c r="M155" s="22"/>
      <c r="N155" s="22"/>
    </row>
    <row r="156" spans="1:14" ht="12.75">
      <c r="A156" s="11"/>
      <c r="B156" s="11"/>
      <c r="C156" s="11"/>
      <c r="D156" s="11"/>
      <c r="E156" s="11"/>
      <c r="F156" s="47"/>
      <c r="G156" s="47"/>
      <c r="H156" s="11"/>
      <c r="I156" s="48"/>
      <c r="J156" s="49"/>
      <c r="K156" s="72"/>
      <c r="L156" s="22"/>
      <c r="M156" s="22"/>
      <c r="N156" s="22"/>
    </row>
    <row r="157" spans="1:14" ht="15.75">
      <c r="A157" s="241" t="s">
        <v>263</v>
      </c>
      <c r="B157" s="256"/>
      <c r="C157" s="257"/>
      <c r="D157" s="242"/>
      <c r="E157" s="258"/>
      <c r="F157" s="242"/>
      <c r="G157" s="242"/>
      <c r="H157" s="242"/>
      <c r="I157" s="242"/>
      <c r="J157" s="242"/>
      <c r="K157" s="259"/>
      <c r="L157" s="22"/>
      <c r="M157" s="22"/>
      <c r="N157" s="22"/>
    </row>
    <row r="158" spans="1:14" ht="15.75">
      <c r="A158" s="92"/>
      <c r="B158" s="21" t="s">
        <v>266</v>
      </c>
      <c r="C158" s="19"/>
      <c r="D158" s="9"/>
      <c r="E158" s="13"/>
      <c r="F158" s="9"/>
      <c r="G158" s="9"/>
      <c r="H158" s="19" t="s">
        <v>303</v>
      </c>
      <c r="I158" s="18"/>
      <c r="J158" s="18"/>
      <c r="K158" s="79"/>
      <c r="L158" s="22"/>
      <c r="M158" s="11"/>
      <c r="N158" s="11"/>
    </row>
    <row r="159" spans="1:14" ht="15.75">
      <c r="A159" s="13"/>
      <c r="B159" s="45"/>
      <c r="C159" s="288">
        <v>0</v>
      </c>
      <c r="D159" s="93" t="s">
        <v>348</v>
      </c>
      <c r="E159" s="13"/>
      <c r="F159" s="9"/>
      <c r="G159" s="9"/>
      <c r="H159" s="9"/>
      <c r="I159" s="9"/>
      <c r="J159" s="76"/>
      <c r="K159" s="118">
        <f>C159</f>
        <v>0</v>
      </c>
      <c r="L159" s="22"/>
      <c r="M159" s="11"/>
      <c r="N159" s="11"/>
    </row>
    <row r="160" spans="1:14" ht="15.75">
      <c r="A160" s="233"/>
      <c r="B160" s="234"/>
      <c r="C160" s="234"/>
      <c r="D160" s="234"/>
      <c r="E160" s="233"/>
      <c r="F160" s="235"/>
      <c r="G160" s="235" t="s">
        <v>60</v>
      </c>
      <c r="H160" s="234"/>
      <c r="I160" s="237" t="s">
        <v>304</v>
      </c>
      <c r="J160" s="240"/>
      <c r="K160" s="239">
        <f>C159</f>
        <v>0</v>
      </c>
      <c r="L160" s="22"/>
      <c r="M160" s="11"/>
      <c r="N160" s="11"/>
    </row>
    <row r="161" spans="1:14" ht="12.75">
      <c r="A161" s="11"/>
      <c r="B161" s="11"/>
      <c r="C161" s="11"/>
      <c r="D161" s="11"/>
      <c r="E161" s="11"/>
      <c r="F161" s="47"/>
      <c r="G161" s="47"/>
      <c r="H161" s="11"/>
      <c r="I161" s="48"/>
      <c r="J161" s="49"/>
      <c r="K161" s="73"/>
      <c r="L161" s="22"/>
      <c r="M161" s="11"/>
      <c r="N161" s="11"/>
    </row>
    <row r="162" spans="1:14" ht="12.75">
      <c r="A162" s="11"/>
      <c r="B162" s="11"/>
      <c r="C162" s="11"/>
      <c r="D162" s="11"/>
      <c r="E162" s="11"/>
      <c r="F162" s="47"/>
      <c r="G162" s="47"/>
      <c r="H162" s="11"/>
      <c r="I162" s="48"/>
      <c r="J162" s="49"/>
      <c r="K162" s="73"/>
      <c r="L162" s="22"/>
      <c r="M162" s="11"/>
      <c r="N162" s="11"/>
    </row>
    <row r="163" spans="1:14" ht="15.75">
      <c r="A163" s="241" t="s">
        <v>264</v>
      </c>
      <c r="B163" s="256"/>
      <c r="C163" s="257"/>
      <c r="D163" s="242"/>
      <c r="E163" s="258"/>
      <c r="F163" s="242"/>
      <c r="G163" s="242"/>
      <c r="H163" s="242"/>
      <c r="I163" s="242"/>
      <c r="J163" s="242"/>
      <c r="K163" s="259"/>
      <c r="L163" s="22"/>
      <c r="M163" s="11"/>
      <c r="N163" s="11"/>
    </row>
    <row r="164" spans="1:14" ht="15.75">
      <c r="A164" s="92"/>
      <c r="B164" s="21" t="s">
        <v>265</v>
      </c>
      <c r="C164" s="19"/>
      <c r="D164" s="95"/>
      <c r="E164" s="13"/>
      <c r="F164" s="9"/>
      <c r="G164" s="9"/>
      <c r="H164" s="19" t="s">
        <v>303</v>
      </c>
      <c r="I164" s="18"/>
      <c r="J164" s="18"/>
      <c r="K164" s="79"/>
      <c r="L164" s="22"/>
      <c r="M164" s="11"/>
      <c r="N164" s="11"/>
    </row>
    <row r="165" spans="1:14" ht="15.75">
      <c r="A165" s="13"/>
      <c r="B165" s="45"/>
      <c r="C165" s="288">
        <v>0</v>
      </c>
      <c r="D165" s="93" t="s">
        <v>348</v>
      </c>
      <c r="E165" s="84"/>
      <c r="F165" s="9"/>
      <c r="G165" s="9"/>
      <c r="H165" s="9"/>
      <c r="I165" s="9"/>
      <c r="J165" s="76"/>
      <c r="K165" s="118">
        <f>C165</f>
        <v>0</v>
      </c>
      <c r="L165" s="22"/>
      <c r="M165" s="11"/>
      <c r="N165" s="11"/>
    </row>
    <row r="166" spans="1:14" ht="15.75">
      <c r="A166" s="233"/>
      <c r="B166" s="234"/>
      <c r="C166" s="234"/>
      <c r="D166" s="234"/>
      <c r="E166" s="233"/>
      <c r="F166" s="235"/>
      <c r="G166" s="235" t="s">
        <v>60</v>
      </c>
      <c r="H166" s="234"/>
      <c r="I166" s="237" t="s">
        <v>304</v>
      </c>
      <c r="J166" s="240"/>
      <c r="K166" s="239">
        <f>C165</f>
        <v>0</v>
      </c>
      <c r="L166" s="22"/>
      <c r="M166" s="11"/>
      <c r="N166" s="11"/>
    </row>
    <row r="167" spans="1:14" ht="12.75">
      <c r="A167" s="11"/>
      <c r="B167" s="11"/>
      <c r="C167" s="11"/>
      <c r="D167" s="11"/>
      <c r="E167" s="11"/>
      <c r="F167" s="47"/>
      <c r="G167" s="47"/>
      <c r="H167" s="11"/>
      <c r="I167" s="48"/>
      <c r="J167" s="49"/>
      <c r="K167" s="73"/>
      <c r="L167" s="22"/>
      <c r="M167" s="11"/>
      <c r="N167" s="11"/>
    </row>
    <row r="168" spans="1:14" ht="12.75">
      <c r="A168" s="11"/>
      <c r="B168" s="11"/>
      <c r="C168" s="11"/>
      <c r="D168" s="11"/>
      <c r="E168" s="11"/>
      <c r="F168" s="47"/>
      <c r="G168" s="47"/>
      <c r="H168" s="11"/>
      <c r="I168" s="48"/>
      <c r="J168" s="49"/>
      <c r="K168" s="73"/>
      <c r="L168" s="22"/>
      <c r="M168" s="11"/>
      <c r="N168" s="11"/>
    </row>
    <row r="169" spans="1:14" ht="19.5">
      <c r="A169" s="241" t="s">
        <v>258</v>
      </c>
      <c r="B169" s="256"/>
      <c r="C169" s="257"/>
      <c r="D169" s="242"/>
      <c r="E169" s="258"/>
      <c r="F169" s="242"/>
      <c r="G169" s="242"/>
      <c r="H169" s="242"/>
      <c r="I169" s="242"/>
      <c r="J169" s="242"/>
      <c r="K169" s="259"/>
      <c r="L169" s="22"/>
      <c r="M169" s="11"/>
      <c r="N169" s="11"/>
    </row>
    <row r="170" spans="1:14" ht="15.75">
      <c r="A170" s="92"/>
      <c r="B170" s="21" t="s">
        <v>256</v>
      </c>
      <c r="C170" s="19"/>
      <c r="D170" s="9"/>
      <c r="E170" s="13"/>
      <c r="F170" s="9"/>
      <c r="G170" s="9"/>
      <c r="H170" s="19" t="s">
        <v>303</v>
      </c>
      <c r="I170" s="18"/>
      <c r="J170" s="18"/>
      <c r="K170" s="79"/>
      <c r="L170" s="22"/>
      <c r="M170" s="11"/>
      <c r="N170" s="11"/>
    </row>
    <row r="171" spans="1:14" ht="15.75">
      <c r="A171" s="13"/>
      <c r="B171" s="45"/>
      <c r="C171" s="288">
        <v>0</v>
      </c>
      <c r="D171" s="93" t="s">
        <v>348</v>
      </c>
      <c r="E171" s="13"/>
      <c r="F171" s="9"/>
      <c r="G171" s="9"/>
      <c r="H171" s="9"/>
      <c r="I171" s="9"/>
      <c r="J171" s="76"/>
      <c r="K171" s="118">
        <f>C171</f>
        <v>0</v>
      </c>
      <c r="L171" s="22"/>
      <c r="M171" s="11"/>
      <c r="N171" s="11"/>
    </row>
    <row r="172" spans="1:14" ht="15.75">
      <c r="A172" s="233"/>
      <c r="B172" s="234"/>
      <c r="C172" s="323"/>
      <c r="D172" s="234"/>
      <c r="E172" s="233"/>
      <c r="F172" s="235"/>
      <c r="G172" s="235" t="s">
        <v>60</v>
      </c>
      <c r="H172" s="234"/>
      <c r="I172" s="237" t="s">
        <v>304</v>
      </c>
      <c r="J172" s="240"/>
      <c r="K172" s="239">
        <f>C171</f>
        <v>0</v>
      </c>
      <c r="L172" s="22"/>
      <c r="M172" s="11"/>
      <c r="N172" s="11"/>
    </row>
    <row r="173" spans="1:14" ht="12.75">
      <c r="A173" s="11"/>
      <c r="B173" s="11"/>
      <c r="C173" s="11"/>
      <c r="D173" s="11"/>
      <c r="E173" s="11"/>
      <c r="F173" s="47"/>
      <c r="G173" s="47"/>
      <c r="H173" s="11"/>
      <c r="I173" s="48"/>
      <c r="J173" s="49"/>
      <c r="K173" s="73"/>
      <c r="L173" s="22"/>
      <c r="M173" s="11"/>
      <c r="N173" s="11"/>
    </row>
    <row r="174" spans="1:14" ht="12.75">
      <c r="A174" s="11"/>
      <c r="B174" s="11"/>
      <c r="C174" s="324"/>
      <c r="D174" s="11"/>
      <c r="E174" s="11"/>
      <c r="F174" s="47"/>
      <c r="G174" s="47"/>
      <c r="H174" s="11"/>
      <c r="I174" s="48"/>
      <c r="J174" s="49"/>
      <c r="K174" s="73"/>
      <c r="L174" s="22"/>
      <c r="M174" s="11"/>
      <c r="N174" s="11"/>
    </row>
    <row r="175" spans="1:14" ht="19.5">
      <c r="A175" s="241" t="s">
        <v>259</v>
      </c>
      <c r="B175" s="256"/>
      <c r="C175" s="257"/>
      <c r="D175" s="242"/>
      <c r="E175" s="258"/>
      <c r="F175" s="242"/>
      <c r="G175" s="242"/>
      <c r="H175" s="242"/>
      <c r="I175" s="242"/>
      <c r="J175" s="242"/>
      <c r="K175" s="259"/>
      <c r="L175" s="22"/>
      <c r="M175" s="11"/>
      <c r="N175" s="11"/>
    </row>
    <row r="176" spans="1:14" ht="15.75">
      <c r="A176" s="92"/>
      <c r="B176" s="21" t="s">
        <v>257</v>
      </c>
      <c r="C176" s="19"/>
      <c r="D176" s="9"/>
      <c r="E176" s="13"/>
      <c r="F176" s="9"/>
      <c r="G176" s="9"/>
      <c r="H176" s="19" t="s">
        <v>303</v>
      </c>
      <c r="I176" s="18"/>
      <c r="J176" s="18"/>
      <c r="K176" s="79"/>
      <c r="L176" s="22"/>
      <c r="M176" s="11"/>
      <c r="N176" s="11"/>
    </row>
    <row r="177" spans="1:14" ht="15.75">
      <c r="A177" s="13"/>
      <c r="B177" s="45"/>
      <c r="C177" s="288">
        <v>0</v>
      </c>
      <c r="D177" s="93" t="s">
        <v>348</v>
      </c>
      <c r="E177" s="13"/>
      <c r="F177" s="9"/>
      <c r="G177" s="9"/>
      <c r="H177" s="9"/>
      <c r="I177" s="9"/>
      <c r="J177" s="76"/>
      <c r="K177" s="118">
        <f>C177</f>
        <v>0</v>
      </c>
      <c r="L177" s="22"/>
      <c r="M177" s="11"/>
      <c r="N177" s="11"/>
    </row>
    <row r="178" spans="1:14" ht="15.75">
      <c r="A178" s="233"/>
      <c r="B178" s="234"/>
      <c r="C178" s="234"/>
      <c r="D178" s="234"/>
      <c r="E178" s="233"/>
      <c r="F178" s="235"/>
      <c r="G178" s="235" t="s">
        <v>60</v>
      </c>
      <c r="H178" s="234"/>
      <c r="I178" s="237" t="s">
        <v>304</v>
      </c>
      <c r="J178" s="240"/>
      <c r="K178" s="239">
        <f>C177</f>
        <v>0</v>
      </c>
      <c r="L178" s="22"/>
      <c r="M178" s="11"/>
      <c r="N178" s="11"/>
    </row>
    <row r="179" spans="1:14" ht="12.75">
      <c r="A179" s="11"/>
      <c r="B179" s="11"/>
      <c r="C179" s="11"/>
      <c r="D179" s="11"/>
      <c r="E179" s="11"/>
      <c r="F179" s="47"/>
      <c r="G179" s="47"/>
      <c r="H179" s="11"/>
      <c r="I179" s="48"/>
      <c r="J179" s="49"/>
      <c r="K179" s="73"/>
      <c r="L179" s="22"/>
      <c r="M179" s="11"/>
      <c r="N179" s="11"/>
    </row>
    <row r="180" spans="1:14" ht="12.75">
      <c r="A180" s="11"/>
      <c r="B180" s="11"/>
      <c r="C180" s="11"/>
      <c r="D180" s="11"/>
      <c r="E180" s="11"/>
      <c r="F180" s="47"/>
      <c r="G180" s="47"/>
      <c r="H180" s="11"/>
      <c r="I180" s="48"/>
      <c r="J180" s="49"/>
      <c r="K180" s="73"/>
      <c r="L180" s="22"/>
      <c r="M180" s="11"/>
      <c r="N180" s="11"/>
    </row>
    <row r="181" spans="1:14" ht="15.75">
      <c r="A181" s="241" t="s">
        <v>96</v>
      </c>
      <c r="B181" s="242"/>
      <c r="C181" s="242"/>
      <c r="D181" s="242"/>
      <c r="E181" s="243" t="s">
        <v>37</v>
      </c>
      <c r="F181" s="248"/>
      <c r="G181" s="248"/>
      <c r="H181" s="249"/>
      <c r="I181" s="310" t="s">
        <v>304</v>
      </c>
      <c r="J181" s="249"/>
      <c r="K181" s="250">
        <f>K90+K146+K154+K160</f>
        <v>35.4760040126249</v>
      </c>
      <c r="L181" s="22"/>
      <c r="M181" s="11"/>
      <c r="N181" s="11"/>
    </row>
    <row r="182" spans="1:14" ht="15.75">
      <c r="A182" s="251"/>
      <c r="B182" s="252"/>
      <c r="C182" s="252"/>
      <c r="D182" s="252"/>
      <c r="E182" s="253"/>
      <c r="F182" s="253"/>
      <c r="G182" s="253"/>
      <c r="H182" s="253"/>
      <c r="I182" s="253"/>
      <c r="J182" s="253"/>
      <c r="K182" s="254"/>
      <c r="L182" s="22"/>
      <c r="M182" s="11"/>
      <c r="N182" s="11"/>
    </row>
    <row r="183" spans="1:14" ht="15.75">
      <c r="A183" s="13"/>
      <c r="B183" s="9"/>
      <c r="C183" s="9"/>
      <c r="D183" s="23" t="s">
        <v>59</v>
      </c>
      <c r="E183" s="94">
        <f>E24*C48*C59*C70*C95*C110*C138*C150</f>
        <v>42790.94504588019</v>
      </c>
      <c r="F183" s="39" t="s">
        <v>327</v>
      </c>
      <c r="G183" s="9"/>
      <c r="H183" s="9"/>
      <c r="I183" s="9"/>
      <c r="J183" s="9"/>
      <c r="K183" s="95"/>
      <c r="L183" s="22"/>
      <c r="M183" s="11"/>
      <c r="N183" s="11"/>
    </row>
    <row r="184" spans="1:14" ht="15.75">
      <c r="A184" s="13"/>
      <c r="B184" s="9"/>
      <c r="C184" s="9"/>
      <c r="D184" s="23" t="s">
        <v>69</v>
      </c>
      <c r="E184" s="96">
        <f>E183/E24</f>
        <v>0.5784482898737762</v>
      </c>
      <c r="F184" s="9" t="s">
        <v>330</v>
      </c>
      <c r="G184" s="9"/>
      <c r="H184" s="76"/>
      <c r="I184" s="9"/>
      <c r="J184" s="9"/>
      <c r="K184" s="95"/>
      <c r="L184" s="22"/>
      <c r="M184" s="11"/>
      <c r="N184" s="11"/>
    </row>
    <row r="185" spans="1:14" ht="12.75">
      <c r="A185" s="13"/>
      <c r="B185" s="9"/>
      <c r="C185" s="9"/>
      <c r="D185" s="9"/>
      <c r="E185" s="9"/>
      <c r="F185" s="77"/>
      <c r="G185" s="9"/>
      <c r="H185" s="76"/>
      <c r="I185" s="9"/>
      <c r="J185" s="9"/>
      <c r="K185" s="95"/>
      <c r="L185" s="22"/>
      <c r="M185" s="11"/>
      <c r="N185" s="11"/>
    </row>
    <row r="186" spans="1:14" ht="12.75">
      <c r="A186" s="13"/>
      <c r="B186" s="9"/>
      <c r="C186" s="9"/>
      <c r="D186" s="9"/>
      <c r="E186" s="9"/>
      <c r="F186" s="77"/>
      <c r="G186" s="9"/>
      <c r="H186" s="9"/>
      <c r="I186" s="9"/>
      <c r="J186" s="9"/>
      <c r="K186" s="95"/>
      <c r="L186" s="22"/>
      <c r="M186" s="11"/>
      <c r="N186" s="11"/>
    </row>
    <row r="187" spans="1:14" ht="15.75">
      <c r="A187" s="202"/>
      <c r="B187" s="196"/>
      <c r="C187" s="196"/>
      <c r="D187" s="196"/>
      <c r="E187" s="261" t="s">
        <v>95</v>
      </c>
      <c r="F187" s="262"/>
      <c r="G187" s="204"/>
      <c r="H187" s="196"/>
      <c r="I187" s="261" t="s">
        <v>304</v>
      </c>
      <c r="J187" s="204"/>
      <c r="K187" s="263">
        <f>K44+K55+K65+K81+K105+K125+K146+K154+K160-K166-K172-K178</f>
        <v>75.68669083766872</v>
      </c>
      <c r="L187" s="22"/>
      <c r="M187" s="11"/>
      <c r="N187" s="11"/>
    </row>
    <row r="188" spans="1:14" ht="14.25">
      <c r="A188" s="264"/>
      <c r="B188" s="265"/>
      <c r="C188" s="266"/>
      <c r="D188" s="196"/>
      <c r="E188" s="261" t="s">
        <v>97</v>
      </c>
      <c r="F188" s="196"/>
      <c r="G188" s="196"/>
      <c r="H188" s="196"/>
      <c r="I188" s="261" t="s">
        <v>304</v>
      </c>
      <c r="J188" s="196"/>
      <c r="K188" s="267">
        <f>K134+K146+K154+K160-K166-K172-K178</f>
        <v>51.74765920688121</v>
      </c>
      <c r="L188" s="22"/>
      <c r="M188" s="11"/>
      <c r="N188" s="11"/>
    </row>
    <row r="189" spans="1:14" ht="12.75">
      <c r="A189" s="202"/>
      <c r="B189" s="196"/>
      <c r="C189" s="196"/>
      <c r="D189" s="196"/>
      <c r="E189" s="196"/>
      <c r="F189" s="268"/>
      <c r="G189" s="196"/>
      <c r="H189" s="196"/>
      <c r="I189" s="196"/>
      <c r="J189" s="196"/>
      <c r="K189" s="203"/>
      <c r="L189" s="22"/>
      <c r="M189" s="11"/>
      <c r="N189" s="11"/>
    </row>
    <row r="190" spans="1:14" ht="12.75">
      <c r="A190" s="233"/>
      <c r="B190" s="234"/>
      <c r="C190" s="234"/>
      <c r="D190" s="234"/>
      <c r="E190" s="269" t="s">
        <v>98</v>
      </c>
      <c r="F190" s="270"/>
      <c r="G190" s="270"/>
      <c r="H190" s="270"/>
      <c r="I190" s="270"/>
      <c r="J190" s="270"/>
      <c r="K190" s="271">
        <f>(83.8-K188)/83.8</f>
        <v>0.38248616698232446</v>
      </c>
      <c r="L190" s="22"/>
      <c r="M190" s="11"/>
      <c r="N190" s="11"/>
    </row>
    <row r="191" ht="12.75">
      <c r="L191" s="3"/>
    </row>
    <row r="192" spans="5:12" ht="12.75">
      <c r="E192" s="2"/>
      <c r="F192" s="2"/>
      <c r="G192" s="4"/>
      <c r="H192" s="2"/>
      <c r="I192" s="2"/>
      <c r="J192" s="2"/>
      <c r="K192" s="8"/>
      <c r="L192" s="3"/>
    </row>
    <row r="193" spans="6:13" ht="12.75">
      <c r="F193" s="2"/>
      <c r="G193" s="2"/>
      <c r="H193" s="74"/>
      <c r="I193" s="2"/>
      <c r="J193" s="2"/>
      <c r="K193" s="75"/>
      <c r="L193" s="36"/>
      <c r="M193" s="3"/>
    </row>
    <row r="194" spans="6:13" ht="12.75">
      <c r="F194" s="2"/>
      <c r="G194" s="2"/>
      <c r="H194" s="74"/>
      <c r="I194" s="2"/>
      <c r="J194" s="2"/>
      <c r="K194" s="75"/>
      <c r="L194" s="36"/>
      <c r="M194" s="3"/>
    </row>
    <row r="195" spans="6:13" ht="15.75">
      <c r="F195" s="37"/>
      <c r="G195" s="2"/>
      <c r="H195" s="2"/>
      <c r="I195" s="2"/>
      <c r="J195" s="2"/>
      <c r="K195" s="2"/>
      <c r="L195" s="2"/>
      <c r="M195" s="3"/>
    </row>
    <row r="196" spans="6:13" ht="12.75">
      <c r="F196" s="2"/>
      <c r="G196" s="74"/>
      <c r="H196" s="2"/>
      <c r="I196" s="2"/>
      <c r="J196" s="2"/>
      <c r="K196" s="2"/>
      <c r="L196" s="2"/>
      <c r="M196" s="2"/>
    </row>
    <row r="197" spans="6:13" ht="12.75">
      <c r="F197" s="74"/>
      <c r="G197" s="2"/>
      <c r="H197" s="25"/>
      <c r="I197" s="2"/>
      <c r="J197" s="2"/>
      <c r="K197" s="2"/>
      <c r="L197" s="2"/>
      <c r="M197" s="2"/>
    </row>
    <row r="198" spans="6:13" ht="12.75">
      <c r="F198" s="74"/>
      <c r="G198" s="2"/>
      <c r="H198" s="25"/>
      <c r="I198" s="2"/>
      <c r="J198" s="2"/>
      <c r="K198" s="2"/>
      <c r="L198" s="2"/>
      <c r="M198" s="2"/>
    </row>
    <row r="199" spans="6:13" ht="12.75">
      <c r="F199" s="2"/>
      <c r="G199" s="36"/>
      <c r="H199" s="2"/>
      <c r="I199" s="2"/>
      <c r="J199" s="2"/>
      <c r="K199" s="2"/>
      <c r="L199" s="2"/>
      <c r="M199" s="2"/>
    </row>
    <row r="200" spans="6:13" ht="12.75">
      <c r="F200" s="2"/>
      <c r="G200" s="2"/>
      <c r="H200" s="2"/>
      <c r="I200" s="2"/>
      <c r="J200" s="2"/>
      <c r="K200" s="2"/>
      <c r="L200" s="2"/>
      <c r="M200" s="2"/>
    </row>
    <row r="201" spans="6:13" ht="12.75">
      <c r="F201" s="2"/>
      <c r="G201" s="2"/>
      <c r="H201" s="2"/>
      <c r="I201" s="2"/>
      <c r="J201" s="2"/>
      <c r="K201" s="2"/>
      <c r="L201" s="2"/>
      <c r="M201" s="2"/>
    </row>
    <row r="202" spans="6:13" ht="12.75">
      <c r="F202" s="2"/>
      <c r="G202" s="2"/>
      <c r="H202" s="2"/>
      <c r="I202" s="2"/>
      <c r="J202" s="2"/>
      <c r="K202" s="2"/>
      <c r="L202" s="2"/>
      <c r="M202" s="2"/>
    </row>
    <row r="203" spans="6:13" ht="12.75">
      <c r="F203" s="2"/>
      <c r="G203" s="2"/>
      <c r="H203" s="2"/>
      <c r="I203" s="2"/>
      <c r="J203" s="2"/>
      <c r="K203" s="2"/>
      <c r="L203" s="2"/>
      <c r="M203" s="2"/>
    </row>
    <row r="204" spans="6:13" ht="12.75">
      <c r="F204" s="2"/>
      <c r="G204" s="2"/>
      <c r="H204" s="2"/>
      <c r="I204" s="2"/>
      <c r="J204" s="2"/>
      <c r="K204" s="2"/>
      <c r="L204" s="2"/>
      <c r="M204" s="2"/>
    </row>
    <row r="205" spans="6:13" ht="12.75">
      <c r="F205" s="2"/>
      <c r="G205" s="2"/>
      <c r="H205" s="2"/>
      <c r="I205" s="2"/>
      <c r="J205" s="2"/>
      <c r="K205" s="2"/>
      <c r="L205" s="2"/>
      <c r="M205" s="2"/>
    </row>
    <row r="206" spans="6:13" ht="12.75">
      <c r="F206" s="2"/>
      <c r="G206" s="2"/>
      <c r="H206" s="2"/>
      <c r="I206" s="2"/>
      <c r="J206" s="2"/>
      <c r="K206" s="2"/>
      <c r="L206" s="2"/>
      <c r="M206" s="2"/>
    </row>
    <row r="207" spans="6:13" ht="12.75">
      <c r="F207" s="2"/>
      <c r="G207" s="2"/>
      <c r="H207" s="2"/>
      <c r="I207" s="2"/>
      <c r="J207" s="2"/>
      <c r="K207" s="2"/>
      <c r="L207" s="2"/>
      <c r="M207" s="2"/>
    </row>
    <row r="208" spans="6:13" ht="12.75">
      <c r="F208" s="2"/>
      <c r="G208" s="2"/>
      <c r="H208" s="2"/>
      <c r="I208" s="2"/>
      <c r="J208" s="2"/>
      <c r="K208" s="2"/>
      <c r="L208" s="2"/>
      <c r="M208" s="2"/>
    </row>
    <row r="209" spans="6:13" ht="12.75">
      <c r="F209" s="2"/>
      <c r="G209" s="2"/>
      <c r="H209" s="2"/>
      <c r="I209" s="2"/>
      <c r="J209" s="2"/>
      <c r="K209" s="2"/>
      <c r="L209" s="2"/>
      <c r="M209" s="2"/>
    </row>
    <row r="210" spans="6:13" ht="12.75">
      <c r="F210" s="2"/>
      <c r="G210" s="2"/>
      <c r="H210" s="2"/>
      <c r="I210" s="2"/>
      <c r="J210" s="2"/>
      <c r="K210" s="2"/>
      <c r="L210" s="2"/>
      <c r="M210" s="2"/>
    </row>
    <row r="211" spans="6:13" ht="12.75">
      <c r="F211" s="2"/>
      <c r="G211" s="2"/>
      <c r="H211" s="2"/>
      <c r="I211" s="2"/>
      <c r="J211" s="2"/>
      <c r="K211" s="2"/>
      <c r="L211" s="2"/>
      <c r="M211" s="2"/>
    </row>
  </sheetData>
  <sheetProtection/>
  <mergeCells count="2">
    <mergeCell ref="G11:G12"/>
    <mergeCell ref="N11:N12"/>
  </mergeCells>
  <conditionalFormatting sqref="N9:N20">
    <cfRule type="cellIs" priority="1" dxfId="4" operator="notBetween" stopIfTrue="1">
      <formula>-0.05</formula>
      <formula>0.05</formula>
    </cfRule>
  </conditionalFormatting>
  <hyperlinks>
    <hyperlink ref="T37" location="Menu!A6" display="Back to menu"/>
    <hyperlink ref="T44" location="Menu!A6" display="Back to menu"/>
    <hyperlink ref="N50" location="Menu!A6" display="Back to menu"/>
    <hyperlink ref="T50" location="Menu!A6" display="Back to menu"/>
    <hyperlink ref="N61" location="Menu!A6" display="Back to menu"/>
    <hyperlink ref="N139" location="Menu!A6" display="Back to menu"/>
    <hyperlink ref="T139" location="Menu!A6" display="Back to menu"/>
    <hyperlink ref="T5" location="Menu!A6" display="Back to menu"/>
    <hyperlink ref="T36" location="Menu!A6" display="Back to menu"/>
    <hyperlink ref="T43" location="Menu!A6" display="Back to menu"/>
    <hyperlink ref="N49" location="Menu!A6" display="Back to menu"/>
    <hyperlink ref="T49" location="Menu!A6" display="Back to menu"/>
    <hyperlink ref="N60" location="Menu!A6" display="Back to menu"/>
    <hyperlink ref="N138" location="Menu!A6" display="Back to menu"/>
    <hyperlink ref="T138" location="Menu!A6" display="Back to menu"/>
    <hyperlink ref="T4" location="Menu!A6" display="Back to menu"/>
  </hyperlinks>
  <printOptions/>
  <pageMargins left="0.75" right="0.75" top="1" bottom="1" header="0.5" footer="0.5"/>
  <pageSetup fitToHeight="0" fitToWidth="1" horizontalDpi="600" verticalDpi="600" orientation="landscape" paperSize="8"/>
  <headerFooter alignWithMargins="0">
    <oddFooter>&amp;L&amp;8&amp;F&amp;C&amp;8&amp;A&amp;R&amp;8page&amp;P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Blad13">
    <pageSetUpPr fitToPage="1"/>
  </sheetPr>
  <dimension ref="A2:W181"/>
  <sheetViews>
    <sheetView zoomScale="80" zoomScaleNormal="80" workbookViewId="0" topLeftCell="A1">
      <pane ySplit="20" topLeftCell="BM21" activePane="bottomLeft" state="frozen"/>
      <selection pane="topLeft" activeCell="F31" sqref="F31"/>
      <selection pane="bottomLeft" activeCell="A1" sqref="A1"/>
    </sheetView>
  </sheetViews>
  <sheetFormatPr defaultColWidth="8.8515625" defaultRowHeight="12.75"/>
  <cols>
    <col min="1" max="1" width="27.7109375" style="0" customWidth="1"/>
    <col min="2" max="2" width="25.8515625" style="0" customWidth="1"/>
    <col min="3" max="3" width="9.7109375" style="0" customWidth="1"/>
    <col min="4" max="4" width="20.140625" style="0" customWidth="1"/>
    <col min="5" max="5" width="14.8515625" style="0" customWidth="1"/>
    <col min="6" max="6" width="11.421875" style="0" customWidth="1"/>
    <col min="7" max="7" width="19.57421875" style="0" customWidth="1"/>
    <col min="8" max="8" width="9.140625" style="0" customWidth="1"/>
    <col min="9" max="9" width="9.00390625" style="0" customWidth="1"/>
    <col min="10" max="11" width="9.140625" style="0" customWidth="1"/>
    <col min="12" max="12" width="2.57421875" style="0" customWidth="1"/>
    <col min="13" max="13" width="17.8515625" style="0" customWidth="1"/>
    <col min="14" max="14" width="13.7109375" style="0" customWidth="1"/>
    <col min="15" max="22" width="9.140625" style="0" customWidth="1"/>
    <col min="23" max="16384" width="8.8515625" style="2" customWidth="1"/>
  </cols>
  <sheetData>
    <row r="1" ht="102" customHeight="1"/>
    <row r="2" spans="1:14" ht="27.75" customHeight="1">
      <c r="A2" s="636" t="s">
        <v>505</v>
      </c>
      <c r="B2" s="174"/>
      <c r="C2" s="175"/>
      <c r="D2" s="175"/>
      <c r="E2" s="175"/>
      <c r="F2" s="176"/>
      <c r="G2" s="177"/>
      <c r="H2" s="179"/>
      <c r="I2" s="180"/>
      <c r="J2" s="181"/>
      <c r="K2" s="178"/>
      <c r="L2" s="178"/>
      <c r="M2" s="178"/>
      <c r="N2" s="182" t="str">
        <f>About!D2</f>
        <v>Version 1 - Public</v>
      </c>
    </row>
    <row r="3" spans="1:22" ht="27.75" customHeight="1">
      <c r="A3" s="119" t="s">
        <v>85</v>
      </c>
      <c r="B3" s="121"/>
      <c r="C3" s="122"/>
      <c r="D3" s="122"/>
      <c r="E3" s="121"/>
      <c r="F3" s="121"/>
      <c r="G3" s="46"/>
      <c r="H3" s="47"/>
      <c r="I3" s="123"/>
      <c r="J3" s="56"/>
      <c r="K3" s="123"/>
      <c r="L3" s="123"/>
      <c r="M3" s="22"/>
      <c r="N3" s="56"/>
      <c r="O3" s="2"/>
      <c r="P3" s="2"/>
      <c r="Q3" s="2"/>
      <c r="R3" s="2"/>
      <c r="S3" s="2"/>
      <c r="T3" s="2"/>
      <c r="U3" s="2"/>
      <c r="V3" s="2"/>
    </row>
    <row r="4" spans="1:22" ht="16.5" customHeight="1">
      <c r="A4" s="192" t="s">
        <v>368</v>
      </c>
      <c r="B4" s="183" t="s">
        <v>367</v>
      </c>
      <c r="C4" s="183" t="s">
        <v>92</v>
      </c>
      <c r="D4" s="183" t="s">
        <v>365</v>
      </c>
      <c r="E4" s="184" t="s">
        <v>82</v>
      </c>
      <c r="F4" s="61"/>
      <c r="G4" s="187" t="s">
        <v>376</v>
      </c>
      <c r="H4" s="60"/>
      <c r="I4" s="189" t="s">
        <v>104</v>
      </c>
      <c r="J4" s="190"/>
      <c r="K4" s="191"/>
      <c r="L4" s="11"/>
      <c r="M4" s="189" t="s">
        <v>428</v>
      </c>
      <c r="N4" s="624"/>
      <c r="O4" s="2"/>
      <c r="P4" s="2"/>
      <c r="Q4" s="2"/>
      <c r="R4" s="2"/>
      <c r="S4" s="2"/>
      <c r="T4" s="2"/>
      <c r="U4" s="2"/>
      <c r="V4" s="2"/>
    </row>
    <row r="5" spans="1:22" ht="16.5" customHeight="1">
      <c r="A5" s="477" t="s">
        <v>371</v>
      </c>
      <c r="B5" s="185" t="s">
        <v>366</v>
      </c>
      <c r="C5" s="185" t="s">
        <v>99</v>
      </c>
      <c r="D5" s="185" t="s">
        <v>366</v>
      </c>
      <c r="E5" s="186"/>
      <c r="F5" s="62"/>
      <c r="G5" s="188" t="s">
        <v>373</v>
      </c>
      <c r="H5" s="11"/>
      <c r="I5" s="199" t="str">
        <f>A67</f>
        <v>Extraction of oil</v>
      </c>
      <c r="J5" s="200"/>
      <c r="K5" s="201"/>
      <c r="L5" s="11"/>
      <c r="M5" s="199" t="s">
        <v>432</v>
      </c>
      <c r="N5" s="201"/>
      <c r="O5" s="2"/>
      <c r="P5" s="2"/>
      <c r="Q5" s="2"/>
      <c r="R5" s="2"/>
      <c r="S5" s="2"/>
      <c r="T5" s="2"/>
      <c r="U5" s="2"/>
      <c r="V5" s="2"/>
    </row>
    <row r="6" spans="1:22" ht="16.5" customHeight="1">
      <c r="A6" s="193" t="s">
        <v>260</v>
      </c>
      <c r="B6" s="194"/>
      <c r="C6" s="195"/>
      <c r="D6" s="196"/>
      <c r="E6" s="197">
        <f>D7+D8</f>
        <v>29.64552125967811</v>
      </c>
      <c r="F6" s="63"/>
      <c r="G6" s="198">
        <v>30</v>
      </c>
      <c r="H6" s="11"/>
      <c r="I6" s="150">
        <f>F86/F88</f>
        <v>0.612502100487313</v>
      </c>
      <c r="J6" s="151" t="s">
        <v>333</v>
      </c>
      <c r="K6" s="152"/>
      <c r="L6" s="11"/>
      <c r="M6" s="623">
        <v>83.8</v>
      </c>
      <c r="N6" s="625" t="s">
        <v>431</v>
      </c>
      <c r="O6" s="2"/>
      <c r="P6" s="2"/>
      <c r="Q6" s="2"/>
      <c r="R6" s="2"/>
      <c r="S6" s="2"/>
      <c r="T6" s="2"/>
      <c r="U6" s="2"/>
      <c r="V6" s="2"/>
    </row>
    <row r="7" spans="1:23" ht="12" customHeight="1">
      <c r="A7" s="199" t="str">
        <f>A21</f>
        <v>Cultivation of rapeseed</v>
      </c>
      <c r="B7" s="99">
        <f>K43</f>
        <v>47.695354600275664</v>
      </c>
      <c r="C7" s="100">
        <f>I6</f>
        <v>0.612502100487313</v>
      </c>
      <c r="D7" s="21">
        <f>C7*B7</f>
        <v>29.213504876156072</v>
      </c>
      <c r="E7" s="145"/>
      <c r="F7" s="64"/>
      <c r="G7" s="91">
        <f>29.39</f>
        <v>29.39</v>
      </c>
      <c r="H7" s="11"/>
      <c r="I7" s="153">
        <f>1-I6</f>
        <v>0.387497899512687</v>
      </c>
      <c r="J7" s="154" t="s">
        <v>334</v>
      </c>
      <c r="K7" s="155"/>
      <c r="L7" s="11"/>
      <c r="M7" s="199" t="s">
        <v>430</v>
      </c>
      <c r="N7" s="201"/>
      <c r="O7" s="159"/>
      <c r="P7" s="159"/>
      <c r="Q7" s="3"/>
      <c r="R7" s="3"/>
      <c r="S7" s="3"/>
      <c r="T7" s="3"/>
      <c r="U7" s="3"/>
      <c r="V7" s="3"/>
      <c r="W7" s="3"/>
    </row>
    <row r="8" spans="1:23" ht="12" customHeight="1">
      <c r="A8" s="199" t="str">
        <f>A46</f>
        <v>Rapeseed drying</v>
      </c>
      <c r="B8" s="99">
        <f>K54</f>
        <v>0.7053304522193792</v>
      </c>
      <c r="C8" s="100">
        <f>I6</f>
        <v>0.612502100487313</v>
      </c>
      <c r="D8" s="21">
        <f>C8*B8</f>
        <v>0.43201638352203614</v>
      </c>
      <c r="E8" s="101"/>
      <c r="F8" s="64"/>
      <c r="G8" s="91">
        <f>0.43</f>
        <v>0.43</v>
      </c>
      <c r="H8" s="11"/>
      <c r="I8" s="170"/>
      <c r="J8" s="171"/>
      <c r="K8" s="172"/>
      <c r="L8" s="11"/>
      <c r="M8" s="629">
        <f>(M6-E18)/M6</f>
        <v>0.4721336093030423</v>
      </c>
      <c r="N8" s="626"/>
      <c r="O8" s="159"/>
      <c r="P8" s="159"/>
      <c r="Q8" s="3"/>
      <c r="R8" s="3"/>
      <c r="S8" s="3"/>
      <c r="T8" s="3"/>
      <c r="U8" s="3"/>
      <c r="V8" s="3"/>
      <c r="W8" s="3"/>
    </row>
    <row r="9" spans="1:23" ht="16.5" customHeight="1">
      <c r="A9" s="193" t="s">
        <v>261</v>
      </c>
      <c r="B9" s="204"/>
      <c r="C9" s="204"/>
      <c r="D9" s="205"/>
      <c r="E9" s="197">
        <f>D10+D11</f>
        <v>13.260058553455742</v>
      </c>
      <c r="F9" s="63"/>
      <c r="G9" s="325">
        <v>13</v>
      </c>
      <c r="H9" s="11"/>
      <c r="I9" s="11"/>
      <c r="J9" s="11"/>
      <c r="K9" s="11"/>
      <c r="L9" s="11"/>
      <c r="M9" s="11"/>
      <c r="N9" s="55"/>
      <c r="O9" s="3"/>
      <c r="P9" s="3"/>
      <c r="Q9" s="3"/>
      <c r="R9" s="3"/>
      <c r="S9" s="3"/>
      <c r="T9" s="3"/>
      <c r="U9" s="3"/>
      <c r="V9" s="3"/>
      <c r="W9" s="3"/>
    </row>
    <row r="10" spans="1:23" ht="12" customHeight="1">
      <c r="A10" s="199" t="str">
        <f>A67</f>
        <v>Extraction of oil</v>
      </c>
      <c r="B10" s="99">
        <f>K80</f>
        <v>6.40658668641335</v>
      </c>
      <c r="C10" s="100">
        <f>I6</f>
        <v>0.612502100487313</v>
      </c>
      <c r="D10" s="21">
        <f>C10*B10</f>
        <v>3.9240478023822316</v>
      </c>
      <c r="E10" s="145"/>
      <c r="F10" s="64"/>
      <c r="G10" s="91">
        <f>1.4*2.82</f>
        <v>3.9479999999999995</v>
      </c>
      <c r="H10" s="11"/>
      <c r="I10" s="11"/>
      <c r="J10" s="11"/>
      <c r="K10" s="11"/>
      <c r="L10" s="11"/>
      <c r="M10" s="11"/>
      <c r="N10" s="612"/>
      <c r="O10" s="162"/>
      <c r="P10" s="3"/>
      <c r="Q10" s="3"/>
      <c r="R10" s="3"/>
      <c r="S10" s="3"/>
      <c r="T10" s="3"/>
      <c r="U10" s="3"/>
      <c r="V10" s="3"/>
      <c r="W10" s="3"/>
    </row>
    <row r="11" spans="1:23" ht="12" customHeight="1" thickBot="1">
      <c r="A11" s="199" t="str">
        <f>A92</f>
        <v>Hydrogenation of vegetable oil</v>
      </c>
      <c r="B11" s="99">
        <f>K104</f>
        <v>9.33601075107351</v>
      </c>
      <c r="C11" s="100">
        <v>1</v>
      </c>
      <c r="D11" s="21">
        <f>C11*B11</f>
        <v>9.33601075107351</v>
      </c>
      <c r="E11" s="145"/>
      <c r="F11" s="64"/>
      <c r="G11" s="91">
        <f>1.4*6.69</f>
        <v>9.366</v>
      </c>
      <c r="H11" s="11"/>
      <c r="I11" s="11"/>
      <c r="J11" s="11"/>
      <c r="K11" s="11"/>
      <c r="L11" s="11"/>
      <c r="M11" s="11"/>
      <c r="N11" s="612"/>
      <c r="O11" s="163"/>
      <c r="P11" s="3"/>
      <c r="Q11" s="3"/>
      <c r="R11" s="3"/>
      <c r="S11" s="3"/>
      <c r="T11" s="3"/>
      <c r="U11" s="3"/>
      <c r="V11" s="3"/>
      <c r="W11" s="3"/>
    </row>
    <row r="12" spans="1:23" ht="16.5" customHeight="1">
      <c r="A12" s="193" t="s">
        <v>262</v>
      </c>
      <c r="B12" s="204"/>
      <c r="C12" s="204"/>
      <c r="D12" s="205"/>
      <c r="E12" s="197">
        <f>D13+D14+D15</f>
        <v>1.3296237272711968</v>
      </c>
      <c r="F12" s="63"/>
      <c r="G12" s="325">
        <v>1</v>
      </c>
      <c r="H12" s="11"/>
      <c r="I12" s="137" t="s">
        <v>276</v>
      </c>
      <c r="J12" s="138"/>
      <c r="K12" s="138"/>
      <c r="L12" s="138"/>
      <c r="M12" s="615"/>
      <c r="N12" s="55"/>
      <c r="O12" s="164"/>
      <c r="P12" s="165"/>
      <c r="Q12" s="3"/>
      <c r="R12" s="3"/>
      <c r="S12" s="3"/>
      <c r="T12" s="3"/>
      <c r="U12" s="3"/>
      <c r="V12" s="160"/>
      <c r="W12" s="3"/>
    </row>
    <row r="13" spans="1:23" ht="12" customHeight="1">
      <c r="A13" s="199" t="str">
        <f>A57</f>
        <v>Transport of rapeseed</v>
      </c>
      <c r="B13" s="99">
        <f>K64</f>
        <v>0.2918474074738008</v>
      </c>
      <c r="C13" s="100">
        <f>I6</f>
        <v>0.612502100487313</v>
      </c>
      <c r="D13" s="21">
        <f>C13*B13</f>
        <v>0.1787571500994797</v>
      </c>
      <c r="E13" s="101"/>
      <c r="F13" s="64"/>
      <c r="G13" s="91">
        <f>0.18</f>
        <v>0.18</v>
      </c>
      <c r="H13" s="11"/>
      <c r="I13" s="139"/>
      <c r="J13" s="97"/>
      <c r="K13" s="97"/>
      <c r="L13" s="97"/>
      <c r="M13" s="616"/>
      <c r="N13" s="612"/>
      <c r="O13" s="162"/>
      <c r="P13" s="166"/>
      <c r="Q13" s="166"/>
      <c r="R13" s="3"/>
      <c r="S13" s="3"/>
      <c r="T13" s="3"/>
      <c r="U13" s="3"/>
      <c r="V13" s="3"/>
      <c r="W13" s="3"/>
    </row>
    <row r="14" spans="1:23" ht="12" customHeight="1">
      <c r="A14" s="199" t="str">
        <f>A107</f>
        <v>Transport of HVO</v>
      </c>
      <c r="B14" s="99">
        <f>K116</f>
        <v>0.711621616060606</v>
      </c>
      <c r="C14" s="102">
        <v>1</v>
      </c>
      <c r="D14" s="21">
        <f>C14*B14</f>
        <v>0.711621616060606</v>
      </c>
      <c r="E14" s="35"/>
      <c r="F14" s="66"/>
      <c r="G14" s="91">
        <f>0.71</f>
        <v>0.71</v>
      </c>
      <c r="H14" s="11"/>
      <c r="I14" s="139"/>
      <c r="J14" s="97"/>
      <c r="K14" s="97"/>
      <c r="L14" s="140"/>
      <c r="M14" s="617"/>
      <c r="N14" s="612"/>
      <c r="O14" s="163"/>
      <c r="P14" s="3"/>
      <c r="Q14" s="3"/>
      <c r="R14" s="3"/>
      <c r="S14" s="3"/>
      <c r="T14" s="3"/>
      <c r="U14" s="3"/>
      <c r="V14" s="3"/>
      <c r="W14" s="3"/>
    </row>
    <row r="15" spans="1:23" ht="12" customHeight="1">
      <c r="A15" s="199" t="str">
        <f>A119</f>
        <v>Filling station</v>
      </c>
      <c r="B15" s="99">
        <f>K124</f>
        <v>0.4392449611111111</v>
      </c>
      <c r="C15" s="102">
        <v>1</v>
      </c>
      <c r="D15" s="21">
        <f>C15*B15</f>
        <v>0.4392449611111111</v>
      </c>
      <c r="E15" s="35"/>
      <c r="F15" s="66"/>
      <c r="G15" s="91">
        <f>0.44</f>
        <v>0.44</v>
      </c>
      <c r="H15" s="11"/>
      <c r="I15" s="139"/>
      <c r="J15" s="97"/>
      <c r="K15" s="97"/>
      <c r="L15" s="98"/>
      <c r="M15" s="618"/>
      <c r="N15" s="612"/>
      <c r="O15" s="163"/>
      <c r="P15" s="3"/>
      <c r="Q15" s="3"/>
      <c r="R15" s="3"/>
      <c r="S15" s="3"/>
      <c r="T15" s="3"/>
      <c r="U15" s="3"/>
      <c r="V15" s="3"/>
      <c r="W15" s="3"/>
    </row>
    <row r="16" spans="1:23" ht="17.25" customHeight="1">
      <c r="A16" s="206" t="s">
        <v>282</v>
      </c>
      <c r="B16" s="207">
        <f>K130</f>
        <v>0</v>
      </c>
      <c r="C16" s="208">
        <f>I6</f>
        <v>0.612502100487313</v>
      </c>
      <c r="D16" s="207">
        <f>C16*B16</f>
        <v>0</v>
      </c>
      <c r="E16" s="197">
        <f>D16</f>
        <v>0</v>
      </c>
      <c r="F16" s="67"/>
      <c r="G16" s="210">
        <v>0</v>
      </c>
      <c r="H16" s="11"/>
      <c r="I16" s="139"/>
      <c r="J16" s="97"/>
      <c r="K16" s="97"/>
      <c r="L16" s="98"/>
      <c r="M16" s="618"/>
      <c r="N16" s="628"/>
      <c r="O16" s="163"/>
      <c r="P16" s="3"/>
      <c r="Q16" s="3"/>
      <c r="R16" s="3"/>
      <c r="S16" s="3"/>
      <c r="T16" s="3"/>
      <c r="U16" s="3"/>
      <c r="V16" s="3"/>
      <c r="W16" s="3"/>
    </row>
    <row r="17" spans="1:23" ht="16.5" customHeight="1">
      <c r="A17" s="206" t="s">
        <v>267</v>
      </c>
      <c r="B17" s="207">
        <f>K136+K142+K148</f>
        <v>0</v>
      </c>
      <c r="C17" s="209">
        <v>1</v>
      </c>
      <c r="D17" s="207">
        <f>C17*B17</f>
        <v>0</v>
      </c>
      <c r="E17" s="197">
        <f>D17</f>
        <v>0</v>
      </c>
      <c r="F17" s="67"/>
      <c r="G17" s="210">
        <v>0</v>
      </c>
      <c r="H17" s="11"/>
      <c r="I17" s="139"/>
      <c r="J17" s="97"/>
      <c r="K17" s="97"/>
      <c r="L17" s="98"/>
      <c r="M17" s="618"/>
      <c r="N17" s="628"/>
      <c r="O17" s="167"/>
      <c r="P17" s="167"/>
      <c r="Q17" s="167"/>
      <c r="R17" s="167"/>
      <c r="S17" s="167"/>
      <c r="T17" s="167"/>
      <c r="U17" s="168"/>
      <c r="V17" s="169"/>
      <c r="W17" s="3"/>
    </row>
    <row r="18" spans="1:14" s="226" customFormat="1" ht="16.5" customHeight="1" thickBot="1">
      <c r="A18" s="212" t="s">
        <v>84</v>
      </c>
      <c r="B18" s="213">
        <f>SUM(B7:B15)+B17</f>
        <v>65.58599647462742</v>
      </c>
      <c r="C18" s="214"/>
      <c r="D18" s="214"/>
      <c r="E18" s="215">
        <f>SUM(E6:E17)</f>
        <v>44.23520354040505</v>
      </c>
      <c r="F18" s="224"/>
      <c r="G18" s="216">
        <v>44</v>
      </c>
      <c r="H18" s="225"/>
      <c r="I18" s="619" t="s">
        <v>3</v>
      </c>
      <c r="J18" s="620"/>
      <c r="K18" s="620"/>
      <c r="L18" s="621"/>
      <c r="M18" s="622"/>
      <c r="N18" s="300"/>
    </row>
    <row r="19" spans="1:23" s="11" customFormat="1" ht="16.5" customHeight="1">
      <c r="A19" s="218"/>
      <c r="B19" s="219"/>
      <c r="C19" s="220"/>
      <c r="D19" s="220"/>
      <c r="E19" s="219"/>
      <c r="F19" s="68"/>
      <c r="G19" s="222"/>
      <c r="I19" s="223"/>
      <c r="J19" s="22"/>
      <c r="K19" s="22"/>
      <c r="L19" s="56"/>
      <c r="M19" s="56"/>
      <c r="N19" s="300"/>
      <c r="O19" s="22"/>
      <c r="P19" s="22"/>
      <c r="Q19" s="22"/>
      <c r="R19" s="22"/>
      <c r="S19" s="22"/>
      <c r="T19" s="22"/>
      <c r="U19" s="22"/>
      <c r="V19" s="22"/>
      <c r="W19" s="22"/>
    </row>
    <row r="20" spans="1:14" ht="22.5" customHeight="1">
      <c r="A20" s="120" t="s">
        <v>86</v>
      </c>
      <c r="B20" s="22"/>
      <c r="C20" s="54"/>
      <c r="D20" s="54"/>
      <c r="E20" s="54"/>
      <c r="F20" s="22"/>
      <c r="G20" s="58"/>
      <c r="H20" s="58"/>
      <c r="I20" s="11"/>
      <c r="J20" s="11"/>
      <c r="K20" s="11"/>
      <c r="L20" s="11"/>
      <c r="M20" s="11"/>
      <c r="N20" s="136"/>
    </row>
    <row r="21" spans="1:14" ht="15.75">
      <c r="A21" s="227" t="s">
        <v>293</v>
      </c>
      <c r="B21" s="228"/>
      <c r="C21" s="228"/>
      <c r="D21" s="228"/>
      <c r="E21" s="227" t="s">
        <v>37</v>
      </c>
      <c r="F21" s="229"/>
      <c r="G21" s="228"/>
      <c r="H21" s="230" t="s">
        <v>57</v>
      </c>
      <c r="I21" s="229"/>
      <c r="J21" s="229"/>
      <c r="K21" s="231"/>
      <c r="L21" s="134"/>
      <c r="M21" s="232" t="s">
        <v>252</v>
      </c>
      <c r="N21" s="232"/>
    </row>
    <row r="22" spans="1:14" ht="15.75">
      <c r="A22" s="27"/>
      <c r="B22" s="28" t="s">
        <v>49</v>
      </c>
      <c r="C22" s="29"/>
      <c r="D22" s="29"/>
      <c r="E22" s="103" t="s">
        <v>49</v>
      </c>
      <c r="F22" s="41"/>
      <c r="G22" s="40"/>
      <c r="H22" s="19" t="s">
        <v>350</v>
      </c>
      <c r="I22" s="41"/>
      <c r="J22" s="41"/>
      <c r="K22" s="42"/>
      <c r="L22" s="54"/>
      <c r="M22" s="127" t="s">
        <v>305</v>
      </c>
      <c r="N22" s="148" t="s">
        <v>275</v>
      </c>
    </row>
    <row r="23" spans="1:14" ht="15.75">
      <c r="A23" s="12"/>
      <c r="B23" s="9" t="s">
        <v>36</v>
      </c>
      <c r="C23" s="279">
        <v>3113.4428644904</v>
      </c>
      <c r="D23" s="30" t="s">
        <v>52</v>
      </c>
      <c r="E23" s="104">
        <f>C23*(1-C24)*VLOOKUP($B23,'Standard values'!$C$8:$R$131,13,FALSE)</f>
        <v>73975.40246029191</v>
      </c>
      <c r="F23" s="39" t="s">
        <v>295</v>
      </c>
      <c r="G23" s="39"/>
      <c r="H23" s="43" t="s">
        <v>88</v>
      </c>
      <c r="I23" s="43" t="s">
        <v>89</v>
      </c>
      <c r="J23" s="43" t="s">
        <v>90</v>
      </c>
      <c r="K23" s="44" t="s">
        <v>91</v>
      </c>
      <c r="L23" s="22"/>
      <c r="M23" s="44" t="s">
        <v>91</v>
      </c>
      <c r="N23" s="44" t="s">
        <v>268</v>
      </c>
    </row>
    <row r="24" spans="1:18" ht="15.75">
      <c r="A24" s="13"/>
      <c r="B24" s="9" t="s">
        <v>46</v>
      </c>
      <c r="C24" s="280">
        <v>0.1</v>
      </c>
      <c r="D24" s="30"/>
      <c r="E24" s="124">
        <v>1</v>
      </c>
      <c r="F24" s="85" t="s">
        <v>296</v>
      </c>
      <c r="G24" s="9"/>
      <c r="H24" s="31"/>
      <c r="I24" s="32"/>
      <c r="J24" s="32"/>
      <c r="K24" s="33"/>
      <c r="L24" s="22"/>
      <c r="M24" s="81"/>
      <c r="N24" s="81"/>
      <c r="P24" s="2"/>
      <c r="Q24" s="2"/>
      <c r="R24" s="2"/>
    </row>
    <row r="25" spans="1:18" ht="15.75">
      <c r="A25" s="13"/>
      <c r="B25" s="9" t="s">
        <v>101</v>
      </c>
      <c r="C25" s="328" t="s">
        <v>294</v>
      </c>
      <c r="D25" s="30" t="s">
        <v>52</v>
      </c>
      <c r="E25" s="126">
        <f>+C23/E153</f>
        <v>0.07176721201498296</v>
      </c>
      <c r="F25" s="85" t="s">
        <v>297</v>
      </c>
      <c r="G25" s="9"/>
      <c r="H25" s="32"/>
      <c r="I25" s="32"/>
      <c r="J25" s="32"/>
      <c r="K25" s="33"/>
      <c r="L25" s="22"/>
      <c r="M25" s="81"/>
      <c r="N25" s="81"/>
      <c r="P25" s="2"/>
      <c r="Q25" s="2"/>
      <c r="R25" s="2"/>
    </row>
    <row r="26" spans="1:18" ht="12.75">
      <c r="A26" s="13"/>
      <c r="B26" s="9"/>
      <c r="C26" s="329"/>
      <c r="D26" s="30"/>
      <c r="E26" s="13"/>
      <c r="F26" s="9"/>
      <c r="G26" s="9"/>
      <c r="H26" s="23"/>
      <c r="I26" s="23"/>
      <c r="J26" s="23"/>
      <c r="K26" s="34"/>
      <c r="L26" s="22"/>
      <c r="M26" s="81"/>
      <c r="N26" s="81"/>
      <c r="P26" s="2"/>
      <c r="Q26" s="2"/>
      <c r="R26" s="2"/>
    </row>
    <row r="27" spans="1:18" ht="12.75">
      <c r="A27" s="13"/>
      <c r="B27" s="10" t="s">
        <v>50</v>
      </c>
      <c r="C27" s="329"/>
      <c r="D27" s="30"/>
      <c r="E27" s="13"/>
      <c r="F27" s="9"/>
      <c r="G27" s="9"/>
      <c r="H27" s="23"/>
      <c r="I27" s="23"/>
      <c r="J27" s="23"/>
      <c r="K27" s="34"/>
      <c r="L27" s="22"/>
      <c r="M27" s="81"/>
      <c r="N27" s="81"/>
      <c r="P27" s="2"/>
      <c r="Q27" s="2"/>
      <c r="R27" s="2"/>
    </row>
    <row r="28" spans="1:14" ht="14.25">
      <c r="A28" s="13"/>
      <c r="B28" s="9" t="s">
        <v>33</v>
      </c>
      <c r="C28" s="281">
        <v>2963</v>
      </c>
      <c r="D28" s="30" t="s">
        <v>53</v>
      </c>
      <c r="E28" s="38"/>
      <c r="F28" s="9"/>
      <c r="G28" s="9"/>
      <c r="H28" s="32">
        <f>$C28*VLOOKUP($B28,'Standard values'!$C$8:$R$131,6,FALSE)/$E$153</f>
        <v>5.985682672664897</v>
      </c>
      <c r="I28" s="32">
        <f>$C28*VLOOKUP($B28,'Standard values'!$C$8:$R$131,7,FALSE)/$E$153</f>
        <v>0</v>
      </c>
      <c r="J28" s="327">
        <f>$C28*VLOOKUP($B28,'Standard values'!$C$8:$R$131,8,FALSE)/$E$153</f>
        <v>0</v>
      </c>
      <c r="K28" s="33">
        <f>H28*'Standard values'!$G$9+I28*'Standard values'!$G$10+J28*'Standard values'!$G$11</f>
        <v>5.985682672664897</v>
      </c>
      <c r="L28" s="22"/>
      <c r="M28" s="131">
        <f>+K28/$E$25</f>
        <v>83.40414103609398</v>
      </c>
      <c r="N28" s="132">
        <f>K28*$E$153/1000</f>
        <v>259.6740277777778</v>
      </c>
    </row>
    <row r="29" spans="1:14" ht="12.75">
      <c r="A29" s="13"/>
      <c r="B29" s="9"/>
      <c r="C29" s="329"/>
      <c r="D29" s="30"/>
      <c r="E29" s="38"/>
      <c r="F29" s="9"/>
      <c r="G29" s="9"/>
      <c r="H29" s="32"/>
      <c r="I29" s="32"/>
      <c r="J29" s="32"/>
      <c r="K29" s="33"/>
      <c r="L29" s="22"/>
      <c r="M29" s="131"/>
      <c r="N29" s="132"/>
    </row>
    <row r="30" spans="1:14" ht="12.75">
      <c r="A30" s="13"/>
      <c r="B30" s="10" t="s">
        <v>80</v>
      </c>
      <c r="C30" s="329"/>
      <c r="D30" s="30"/>
      <c r="E30" s="38"/>
      <c r="F30" s="9"/>
      <c r="G30" s="9"/>
      <c r="H30" s="32"/>
      <c r="I30" s="32"/>
      <c r="J30" s="32"/>
      <c r="K30" s="33"/>
      <c r="L30" s="22"/>
      <c r="M30" s="131"/>
      <c r="N30" s="132"/>
    </row>
    <row r="31" spans="1:14" ht="14.25">
      <c r="A31" s="13"/>
      <c r="B31" s="9" t="s">
        <v>115</v>
      </c>
      <c r="C31" s="282">
        <v>137.429151261384</v>
      </c>
      <c r="D31" s="30" t="s">
        <v>54</v>
      </c>
      <c r="E31" s="38"/>
      <c r="F31" s="9"/>
      <c r="G31" s="9"/>
      <c r="H31" s="32">
        <f>$C31*VLOOKUP($B31,'Standard values'!$C$8:$R$131,2,FALSE)/$E$153</f>
        <v>8.955515720533882</v>
      </c>
      <c r="I31" s="32">
        <f>$C31*VLOOKUP($B31,'Standard values'!$C$8:$R$131,3,FALSE)/$E$153</f>
        <v>0.027493100502008136</v>
      </c>
      <c r="J31" s="32">
        <f>$C31*VLOOKUP($B31,'Standard values'!$C$8:$R$131,4,FALSE)/$E$153</f>
        <v>0.03054373604879269</v>
      </c>
      <c r="K31" s="33">
        <f>H31*'Standard values'!$G$9+I31*'Standard values'!$G$10+J31*'Standard values'!$G$11</f>
        <v>18.628802902522704</v>
      </c>
      <c r="L31" s="22"/>
      <c r="M31" s="131">
        <f>+K31/$E$25</f>
        <v>259.5726151189144</v>
      </c>
      <c r="N31" s="132">
        <f>K31*$E$153/1000</f>
        <v>808.1645063590972</v>
      </c>
    </row>
    <row r="32" spans="1:14" ht="14.25">
      <c r="A32" s="13"/>
      <c r="B32" s="9" t="s">
        <v>116</v>
      </c>
      <c r="C32" s="282">
        <v>19</v>
      </c>
      <c r="D32" s="30" t="s">
        <v>302</v>
      </c>
      <c r="E32" s="38"/>
      <c r="F32" s="9"/>
      <c r="G32" s="9"/>
      <c r="H32" s="32">
        <f>$C32*VLOOKUP($B32,'Standard values'!$C$8:$R$131,2,FALSE)/$E$153</f>
        <v>0.05216856334626927</v>
      </c>
      <c r="I32" s="32">
        <f>$C32*VLOOKUP($B32,'Standard values'!$C$8:$R$131,3,FALSE)/$E$153</f>
        <v>9.455650648493515E-05</v>
      </c>
      <c r="J32" s="32">
        <f>$C32*VLOOKUP($B32,'Standard values'!$C$8:$R$131,4,FALSE)/$E$153</f>
        <v>8.014747886402563E-06</v>
      </c>
      <c r="K32" s="33">
        <f>H32*'Standard values'!$G$9+I32*'Standard values'!$G$10+J32*'Standard values'!$G$11</f>
        <v>0.056715728369797935</v>
      </c>
      <c r="L32" s="22"/>
      <c r="M32" s="131">
        <f>+K32/$E$25</f>
        <v>0.7902735354684992</v>
      </c>
      <c r="N32" s="132">
        <f>K32*$E$153/1000</f>
        <v>2.4604715</v>
      </c>
    </row>
    <row r="33" spans="1:14" ht="15.75">
      <c r="A33" s="13"/>
      <c r="B33" s="9" t="s">
        <v>234</v>
      </c>
      <c r="C33" s="282">
        <v>49.4567040711837</v>
      </c>
      <c r="D33" s="30" t="s">
        <v>55</v>
      </c>
      <c r="E33" s="38"/>
      <c r="F33" s="9"/>
      <c r="G33" s="9"/>
      <c r="H33" s="32">
        <f>$C33*VLOOKUP($B33,'Standard values'!$C$8:$R$131,2,FALSE)/$E$153</f>
        <v>0.6114021605116158</v>
      </c>
      <c r="I33" s="32">
        <f>$C33*VLOOKUP($B33,'Standard values'!$C$8:$R$131,3,FALSE)/$E$153</f>
        <v>0.001790848655038891</v>
      </c>
      <c r="J33" s="32">
        <f>$C33*VLOOKUP($B33,'Standard values'!$C$8:$R$131,4,FALSE)/$E$153</f>
        <v>1.4022177386834529E-05</v>
      </c>
      <c r="K33" s="33">
        <f>H33*'Standard values'!$G$9+I33*'Standard values'!$G$10+J33*'Standard values'!$G$11</f>
        <v>0.6567422440840133</v>
      </c>
      <c r="L33" s="22"/>
      <c r="M33" s="131">
        <f>+K33/$E$25</f>
        <v>9.151006784921561</v>
      </c>
      <c r="N33" s="132">
        <f>K33*$E$153/1000</f>
        <v>28.491136777417275</v>
      </c>
    </row>
    <row r="34" spans="1:14" ht="15.75">
      <c r="A34" s="13"/>
      <c r="B34" s="9" t="s">
        <v>235</v>
      </c>
      <c r="C34" s="282">
        <v>33.6731459745861</v>
      </c>
      <c r="D34" s="30" t="s">
        <v>56</v>
      </c>
      <c r="E34" s="38"/>
      <c r="F34" s="9"/>
      <c r="G34" s="9"/>
      <c r="H34" s="32">
        <f>$C34*VLOOKUP($B34,'Standard values'!$C$8:$R$131,2,FALSE)/$E$153</f>
        <v>0.7489366747291474</v>
      </c>
      <c r="I34" s="32">
        <f>$C34*VLOOKUP($B34,'Standard values'!$C$8:$R$131,3,FALSE)/$E$153</f>
        <v>0.001033110851964967</v>
      </c>
      <c r="J34" s="32">
        <f>$C34*VLOOKUP($B34,'Standard values'!$C$8:$R$131,4,FALSE)/$E$153</f>
        <v>3.997386091374591E-05</v>
      </c>
      <c r="K34" s="33">
        <f>H34*'Standard values'!$G$9+I34*'Standard values'!$G$10+J34*'Standard values'!$G$11</f>
        <v>0.7845304871548104</v>
      </c>
      <c r="L34" s="22"/>
      <c r="M34" s="131">
        <f>+K34/$E$25</f>
        <v>10.93160044995231</v>
      </c>
      <c r="N34" s="132">
        <f>K34*$E$153/1000</f>
        <v>34.03491341836406</v>
      </c>
    </row>
    <row r="35" spans="1:14" ht="14.25">
      <c r="A35" s="13"/>
      <c r="B35" s="9" t="s">
        <v>31</v>
      </c>
      <c r="C35" s="282">
        <v>1.23</v>
      </c>
      <c r="D35" s="30" t="s">
        <v>52</v>
      </c>
      <c r="E35" s="38"/>
      <c r="F35" s="15"/>
      <c r="G35" s="15"/>
      <c r="H35" s="32">
        <f>$C35*VLOOKUP($B35,'Standard values'!$C$8:$R$131,2,FALSE)/$E$153</f>
        <v>0.28030635559490963</v>
      </c>
      <c r="I35" s="32">
        <f>$C35*VLOOKUP($B35,'Standard values'!$C$8:$R$131,3,FALSE)/$E$153</f>
        <v>0.0007237553150656135</v>
      </c>
      <c r="J35" s="32">
        <f>$C35*VLOOKUP($B35,'Standard values'!$C$8:$R$131,4,FALSE)/$E$153</f>
        <v>4.767177575013701E-05</v>
      </c>
      <c r="K35" s="33">
        <f>H35*'Standard values'!$G$9+I35*'Standard values'!$G$10+J35*'Standard values'!$G$11</f>
        <v>0.3110635734634593</v>
      </c>
      <c r="L35" s="22"/>
      <c r="M35" s="131">
        <f>+K35/$E$25</f>
        <v>4.334341055334824</v>
      </c>
      <c r="N35" s="132">
        <f>K35*$E$153/1000</f>
        <v>13.494723231</v>
      </c>
    </row>
    <row r="36" spans="1:14" ht="12.75">
      <c r="A36" s="13"/>
      <c r="B36" s="9"/>
      <c r="C36" s="330"/>
      <c r="D36" s="30"/>
      <c r="E36" s="38"/>
      <c r="F36" s="15"/>
      <c r="G36" s="15"/>
      <c r="H36" s="32"/>
      <c r="I36" s="32"/>
      <c r="J36" s="32"/>
      <c r="K36" s="33"/>
      <c r="L36" s="22"/>
      <c r="M36" s="131"/>
      <c r="N36" s="132"/>
    </row>
    <row r="37" spans="1:14" ht="12.75">
      <c r="A37" s="13"/>
      <c r="B37" s="10" t="s">
        <v>35</v>
      </c>
      <c r="C37" s="330"/>
      <c r="D37" s="30"/>
      <c r="E37" s="38"/>
      <c r="F37" s="9"/>
      <c r="G37" s="15"/>
      <c r="H37" s="32"/>
      <c r="I37" s="32"/>
      <c r="J37" s="32"/>
      <c r="K37" s="33"/>
      <c r="L37" s="22"/>
      <c r="M37" s="131"/>
      <c r="N37" s="132"/>
    </row>
    <row r="38" spans="1:14" ht="14.25">
      <c r="A38" s="13"/>
      <c r="B38" s="39" t="s">
        <v>118</v>
      </c>
      <c r="C38" s="283">
        <v>6</v>
      </c>
      <c r="D38" s="30" t="s">
        <v>52</v>
      </c>
      <c r="E38" s="38"/>
      <c r="F38" s="9"/>
      <c r="G38" s="9"/>
      <c r="H38" s="32">
        <f>$C38*VLOOKUP($B38,'Standard values'!$C$8:$R$131,2,FALSE)/$E$153</f>
        <v>0.056992685509084436</v>
      </c>
      <c r="I38" s="32">
        <f>$C38*VLOOKUP($B38,'Standard values'!$C$8:$R$131,3,FALSE)/$E$153</f>
        <v>0.0001262305504041349</v>
      </c>
      <c r="J38" s="32">
        <f>$C38*VLOOKUP($B38,'Standard values'!$C$8:$R$131,4,FALSE)/$E$153</f>
        <v>0.00013869178913691958</v>
      </c>
      <c r="K38" s="33">
        <f>H38*'Standard values'!$G$9+I38*'Standard values'!$G$10+J38*'Standard values'!$G$11</f>
        <v>0.10094875775290774</v>
      </c>
      <c r="L38" s="22"/>
      <c r="M38" s="131">
        <f>+K38/$E$25</f>
        <v>1.4066138967727004</v>
      </c>
      <c r="N38" s="132">
        <f>K38*$E$153/1000</f>
        <v>4.379412</v>
      </c>
    </row>
    <row r="39" spans="1:14" ht="12.75">
      <c r="A39" s="13"/>
      <c r="B39" s="10"/>
      <c r="C39" s="331"/>
      <c r="D39" s="30"/>
      <c r="E39" s="38"/>
      <c r="F39" s="9"/>
      <c r="G39" s="9"/>
      <c r="H39" s="32"/>
      <c r="I39" s="32"/>
      <c r="J39" s="32"/>
      <c r="K39" s="33"/>
      <c r="L39" s="22"/>
      <c r="M39" s="131"/>
      <c r="N39" s="132"/>
    </row>
    <row r="40" spans="1:14" ht="15.75">
      <c r="A40" s="13"/>
      <c r="B40" s="10" t="s">
        <v>81</v>
      </c>
      <c r="C40" s="284">
        <f>(0.151/3.6)*E23/1000</f>
        <v>3.102857158751133</v>
      </c>
      <c r="D40" s="30" t="s">
        <v>52</v>
      </c>
      <c r="E40" s="38"/>
      <c r="F40" s="9"/>
      <c r="G40" s="9"/>
      <c r="H40" s="32">
        <v>0</v>
      </c>
      <c r="I40" s="32">
        <v>0</v>
      </c>
      <c r="J40" s="32">
        <f>1000*$C40/$E$153</f>
        <v>0.071523203494132</v>
      </c>
      <c r="K40" s="33">
        <f>H40*'Standard values'!$G$9+I40*'Standard values'!$G$10+J40*'Standard values'!$G$11</f>
        <v>21.170868234263075</v>
      </c>
      <c r="L40" s="22"/>
      <c r="M40" s="131">
        <f>+K40/$E$25</f>
        <v>294.99359999999996</v>
      </c>
      <c r="N40" s="132">
        <f>K40*$E$153/1000</f>
        <v>918.4457189903353</v>
      </c>
    </row>
    <row r="41" spans="1:14" ht="12.75">
      <c r="A41" s="13"/>
      <c r="B41" s="10"/>
      <c r="C41" s="20"/>
      <c r="D41" s="9"/>
      <c r="E41" s="38"/>
      <c r="F41" s="18"/>
      <c r="G41" s="18" t="s">
        <v>82</v>
      </c>
      <c r="H41" s="117">
        <f>SUM(H24:H40)</f>
        <v>16.691004832889803</v>
      </c>
      <c r="I41" s="117">
        <f>SUM(I24:I40)</f>
        <v>0.03126160238096668</v>
      </c>
      <c r="J41" s="117">
        <f>SUM(J24:J40)</f>
        <v>0.10231531389399873</v>
      </c>
      <c r="K41" s="118">
        <f>H41*'Standard values'!$G$9+I41*'Standard values'!$G$10+J41*'Standard values'!$G$11</f>
        <v>47.695354600275664</v>
      </c>
      <c r="L41" s="22"/>
      <c r="M41" s="128">
        <f>+K41/$E$25</f>
        <v>664.5841918774584</v>
      </c>
      <c r="N41" s="133">
        <f>K41*$E$153/1000</f>
        <v>2069.1449100539917</v>
      </c>
    </row>
    <row r="42" spans="1:14" ht="12.75">
      <c r="A42" s="13"/>
      <c r="B42" s="10"/>
      <c r="C42" s="20"/>
      <c r="D42" s="9"/>
      <c r="E42" s="38"/>
      <c r="F42" s="18"/>
      <c r="G42" s="18"/>
      <c r="H42" s="21"/>
      <c r="I42" s="21"/>
      <c r="J42" s="21"/>
      <c r="K42" s="35"/>
      <c r="L42" s="22"/>
      <c r="M42" s="11"/>
      <c r="N42" s="11"/>
    </row>
    <row r="43" spans="1:14" ht="15.75">
      <c r="A43" s="233"/>
      <c r="B43" s="234"/>
      <c r="C43" s="234"/>
      <c r="D43" s="234"/>
      <c r="E43" s="233"/>
      <c r="F43" s="235"/>
      <c r="G43" s="235" t="s">
        <v>60</v>
      </c>
      <c r="H43" s="236"/>
      <c r="I43" s="237" t="s">
        <v>351</v>
      </c>
      <c r="J43" s="238"/>
      <c r="K43" s="239">
        <f>K41</f>
        <v>47.695354600275664</v>
      </c>
      <c r="L43" s="22"/>
      <c r="M43" s="11"/>
      <c r="N43" s="11"/>
    </row>
    <row r="44" spans="1:14" ht="12.75">
      <c r="A44" s="22"/>
      <c r="B44" s="22"/>
      <c r="C44" s="22"/>
      <c r="D44" s="22"/>
      <c r="E44" s="22"/>
      <c r="F44" s="51"/>
      <c r="G44" s="51"/>
      <c r="H44" s="52"/>
      <c r="I44" s="53"/>
      <c r="J44" s="54"/>
      <c r="K44" s="55"/>
      <c r="L44" s="22"/>
      <c r="M44" s="11"/>
      <c r="N44" s="11"/>
    </row>
    <row r="45" spans="1:14" ht="12.75">
      <c r="A45" s="11"/>
      <c r="B45" s="11"/>
      <c r="C45" s="11"/>
      <c r="D45" s="11"/>
      <c r="E45" s="11"/>
      <c r="F45" s="11"/>
      <c r="G45" s="11"/>
      <c r="H45" s="26"/>
      <c r="I45" s="26"/>
      <c r="J45" s="26"/>
      <c r="K45" s="26"/>
      <c r="L45" s="22"/>
      <c r="M45" s="11"/>
      <c r="N45" s="11"/>
    </row>
    <row r="46" spans="1:14" ht="15.75">
      <c r="A46" s="241" t="s">
        <v>298</v>
      </c>
      <c r="B46" s="242"/>
      <c r="C46" s="242"/>
      <c r="D46" s="242"/>
      <c r="E46" s="241" t="s">
        <v>37</v>
      </c>
      <c r="F46" s="243"/>
      <c r="G46" s="242"/>
      <c r="H46" s="243" t="s">
        <v>57</v>
      </c>
      <c r="I46" s="244"/>
      <c r="J46" s="244"/>
      <c r="K46" s="245"/>
      <c r="L46" s="22"/>
      <c r="M46" s="246" t="s">
        <v>252</v>
      </c>
      <c r="N46" s="11"/>
    </row>
    <row r="47" spans="1:14" ht="15.75">
      <c r="A47" s="78"/>
      <c r="B47" s="10" t="s">
        <v>36</v>
      </c>
      <c r="C47" s="285">
        <v>1</v>
      </c>
      <c r="D47" s="9" t="s">
        <v>300</v>
      </c>
      <c r="E47" s="105">
        <f>E23*C47</f>
        <v>73975.40246029191</v>
      </c>
      <c r="F47" s="39" t="s">
        <v>295</v>
      </c>
      <c r="G47" s="9"/>
      <c r="H47" s="19" t="s">
        <v>350</v>
      </c>
      <c r="I47" s="18"/>
      <c r="J47" s="18"/>
      <c r="K47" s="79"/>
      <c r="L47" s="22"/>
      <c r="M47" s="127" t="s">
        <v>305</v>
      </c>
      <c r="N47" s="11"/>
    </row>
    <row r="48" spans="1:14" ht="15.75">
      <c r="A48" s="78"/>
      <c r="B48" s="9"/>
      <c r="C48" s="332"/>
      <c r="D48" s="9"/>
      <c r="E48" s="124">
        <f>E24*C47</f>
        <v>1</v>
      </c>
      <c r="F48" s="85" t="s">
        <v>296</v>
      </c>
      <c r="G48" s="9"/>
      <c r="H48" s="45" t="s">
        <v>88</v>
      </c>
      <c r="I48" s="45" t="s">
        <v>89</v>
      </c>
      <c r="J48" s="45" t="s">
        <v>90</v>
      </c>
      <c r="K48" s="80" t="s">
        <v>91</v>
      </c>
      <c r="L48" s="22"/>
      <c r="M48" s="44" t="s">
        <v>91</v>
      </c>
      <c r="N48" s="11"/>
    </row>
    <row r="49" spans="1:14" ht="12.75">
      <c r="A49" s="13"/>
      <c r="B49" s="10" t="s">
        <v>50</v>
      </c>
      <c r="C49" s="333"/>
      <c r="D49" s="9"/>
      <c r="E49" s="13"/>
      <c r="F49" s="9"/>
      <c r="G49" s="9"/>
      <c r="H49" s="9"/>
      <c r="I49" s="9"/>
      <c r="J49" s="9"/>
      <c r="K49" s="81"/>
      <c r="L49" s="22"/>
      <c r="M49" s="81"/>
      <c r="N49" s="11"/>
    </row>
    <row r="50" spans="1:14" ht="15.75">
      <c r="A50" s="13"/>
      <c r="B50" s="39" t="s">
        <v>33</v>
      </c>
      <c r="C50" s="334">
        <v>0.000181</v>
      </c>
      <c r="D50" s="9" t="s">
        <v>306</v>
      </c>
      <c r="E50" s="13"/>
      <c r="F50" s="9"/>
      <c r="G50" s="9"/>
      <c r="H50" s="76">
        <f>$C50*$E$48*VLOOKUP($B50,'Standard values'!$C$8:$R$131,6,FALSE)/$E$154</f>
        <v>0.02704879666976262</v>
      </c>
      <c r="I50" s="76">
        <f>$C50*$E$48*VLOOKUP($B50,'Standard values'!$C$8:$R$131,7,FALSE)/$E$154</f>
        <v>0</v>
      </c>
      <c r="J50" s="76">
        <f>$C50*$E$48*VLOOKUP($B50,'Standard values'!$C$8:$R$131,8,FALSE)/$E$154</f>
        <v>0</v>
      </c>
      <c r="K50" s="91">
        <f>H50*'Standard values'!$G$9+I50*'Standard values'!$G$10+J50*'Standard values'!$G$11</f>
        <v>0.02704879666976262</v>
      </c>
      <c r="L50" s="22"/>
      <c r="M50" s="131">
        <f>+K50/$E$25</f>
        <v>0.3768963</v>
      </c>
      <c r="N50" s="11"/>
    </row>
    <row r="51" spans="1:14" ht="15.75">
      <c r="A51" s="13"/>
      <c r="B51" s="9" t="s">
        <v>236</v>
      </c>
      <c r="C51" s="334">
        <v>0.003079</v>
      </c>
      <c r="D51" s="9" t="s">
        <v>306</v>
      </c>
      <c r="E51" s="13"/>
      <c r="F51" s="9"/>
      <c r="G51" s="9"/>
      <c r="H51" s="76">
        <f>$C51*$E$48*VLOOKUP($B51,'Standard values'!$C$8:$R$131,6,FALSE)/$E$154</f>
        <v>0.6342045609258852</v>
      </c>
      <c r="I51" s="76">
        <f>$C51*$E$48*VLOOKUP($B51,'Standard values'!$C$8:$R$131,7,FALSE)/$E$154</f>
        <v>0.0015466440406868719</v>
      </c>
      <c r="J51" s="76">
        <f>$C51*$E$48*VLOOKUP($B51,'Standard values'!$C$8:$R$131,8,FALSE)/$E$154</f>
        <v>2.873068137815311E-05</v>
      </c>
      <c r="K51" s="91">
        <f>H51*'Standard values'!$G$9+I51*'Standard values'!$G$10+J51*'Standard values'!$G$11</f>
        <v>0.6782816555496165</v>
      </c>
      <c r="L51" s="22"/>
      <c r="M51" s="131">
        <f>+K51/$E$25</f>
        <v>9.45113564406</v>
      </c>
      <c r="N51" s="11"/>
    </row>
    <row r="52" spans="1:14" ht="12.75">
      <c r="A52" s="13"/>
      <c r="B52" s="9"/>
      <c r="C52" s="9"/>
      <c r="D52" s="9"/>
      <c r="E52" s="13"/>
      <c r="F52" s="9"/>
      <c r="G52" s="18" t="s">
        <v>82</v>
      </c>
      <c r="H52" s="117">
        <f>SUM(H49:H51)</f>
        <v>0.6612533575956479</v>
      </c>
      <c r="I52" s="117">
        <f>SUM(I49:I51)</f>
        <v>0.0015466440406868719</v>
      </c>
      <c r="J52" s="117">
        <f>SUM(J49:J51)</f>
        <v>2.873068137815311E-05</v>
      </c>
      <c r="K52" s="118">
        <f>H52*'Standard values'!$G$9+I52*'Standard values'!$G$10+J52*'Standard values'!$G$11</f>
        <v>0.7053304522193792</v>
      </c>
      <c r="L52" s="22"/>
      <c r="M52" s="128">
        <f>+K52/$E$25</f>
        <v>9.828031944060001</v>
      </c>
      <c r="N52" s="146"/>
    </row>
    <row r="53" spans="1:14" ht="12.75">
      <c r="A53" s="82"/>
      <c r="B53" s="9"/>
      <c r="C53" s="19"/>
      <c r="D53" s="9"/>
      <c r="E53" s="13"/>
      <c r="F53" s="9"/>
      <c r="G53" s="9"/>
      <c r="H53" s="9"/>
      <c r="I53" s="9"/>
      <c r="J53" s="9"/>
      <c r="K53" s="81"/>
      <c r="L53" s="22"/>
      <c r="M53" s="11"/>
      <c r="N53" s="11"/>
    </row>
    <row r="54" spans="1:14" ht="15.75">
      <c r="A54" s="233"/>
      <c r="B54" s="234"/>
      <c r="C54" s="234"/>
      <c r="D54" s="234"/>
      <c r="E54" s="233"/>
      <c r="F54" s="235"/>
      <c r="G54" s="235" t="s">
        <v>60</v>
      </c>
      <c r="H54" s="234"/>
      <c r="I54" s="237" t="s">
        <v>351</v>
      </c>
      <c r="J54" s="240"/>
      <c r="K54" s="239">
        <f>K52</f>
        <v>0.7053304522193792</v>
      </c>
      <c r="L54" s="22"/>
      <c r="M54" s="11"/>
      <c r="N54" s="11"/>
    </row>
    <row r="55" spans="1:14" ht="12.75">
      <c r="A55" s="11"/>
      <c r="B55" s="11"/>
      <c r="C55" s="11"/>
      <c r="D55" s="11"/>
      <c r="E55" s="11"/>
      <c r="F55" s="47"/>
      <c r="G55" s="47"/>
      <c r="H55" s="11"/>
      <c r="I55" s="48"/>
      <c r="J55" s="49"/>
      <c r="K55" s="50"/>
      <c r="L55" s="22"/>
      <c r="M55" s="11"/>
      <c r="N55" s="11"/>
    </row>
    <row r="56" spans="1:14" ht="12.75">
      <c r="A56" s="11"/>
      <c r="B56" s="11"/>
      <c r="C56" s="11"/>
      <c r="D56" s="11"/>
      <c r="E56" s="11"/>
      <c r="F56" s="11"/>
      <c r="G56" s="11"/>
      <c r="H56" s="26"/>
      <c r="I56" s="26"/>
      <c r="J56" s="26"/>
      <c r="K56" s="26"/>
      <c r="L56" s="22"/>
      <c r="M56" s="11"/>
      <c r="N56" s="11"/>
    </row>
    <row r="57" spans="1:14" ht="15.75">
      <c r="A57" s="241" t="s">
        <v>299</v>
      </c>
      <c r="B57" s="242"/>
      <c r="C57" s="242"/>
      <c r="D57" s="242"/>
      <c r="E57" s="241" t="s">
        <v>37</v>
      </c>
      <c r="F57" s="243"/>
      <c r="G57" s="242"/>
      <c r="H57" s="243" t="s">
        <v>57</v>
      </c>
      <c r="I57" s="244"/>
      <c r="J57" s="244"/>
      <c r="K57" s="245"/>
      <c r="L57" s="22"/>
      <c r="M57" s="246" t="s">
        <v>252</v>
      </c>
      <c r="N57" s="11"/>
    </row>
    <row r="58" spans="1:14" ht="15.75">
      <c r="A58" s="13"/>
      <c r="B58" s="10" t="s">
        <v>36</v>
      </c>
      <c r="C58" s="285">
        <f>1/1.01</f>
        <v>0.9900990099009901</v>
      </c>
      <c r="D58" s="9" t="s">
        <v>300</v>
      </c>
      <c r="E58" s="106">
        <f>E47*C58</f>
        <v>73242.97273296228</v>
      </c>
      <c r="F58" s="39" t="s">
        <v>295</v>
      </c>
      <c r="G58" s="9"/>
      <c r="H58" s="19" t="s">
        <v>350</v>
      </c>
      <c r="I58" s="18"/>
      <c r="J58" s="18"/>
      <c r="K58" s="79"/>
      <c r="L58" s="22"/>
      <c r="M58" s="127" t="s">
        <v>305</v>
      </c>
      <c r="N58" s="11"/>
    </row>
    <row r="59" spans="1:14" ht="15.75">
      <c r="A59" s="13"/>
      <c r="B59" s="9"/>
      <c r="C59" s="333"/>
      <c r="D59" s="9"/>
      <c r="E59" s="124">
        <f>E48*C58</f>
        <v>0.9900990099009901</v>
      </c>
      <c r="F59" s="85" t="s">
        <v>296</v>
      </c>
      <c r="G59" s="9"/>
      <c r="H59" s="45" t="s">
        <v>88</v>
      </c>
      <c r="I59" s="45" t="s">
        <v>89</v>
      </c>
      <c r="J59" s="45" t="s">
        <v>90</v>
      </c>
      <c r="K59" s="80" t="s">
        <v>91</v>
      </c>
      <c r="L59" s="22"/>
      <c r="M59" s="44" t="s">
        <v>91</v>
      </c>
      <c r="N59" s="11"/>
    </row>
    <row r="60" spans="1:14" ht="12.75">
      <c r="A60" s="13"/>
      <c r="B60" s="10" t="s">
        <v>27</v>
      </c>
      <c r="C60" s="333"/>
      <c r="D60" s="9"/>
      <c r="E60" s="124"/>
      <c r="F60" s="85"/>
      <c r="G60" s="9"/>
      <c r="H60" s="45"/>
      <c r="I60" s="45"/>
      <c r="J60" s="45"/>
      <c r="K60" s="80"/>
      <c r="L60" s="22"/>
      <c r="M60" s="81"/>
      <c r="N60" s="11"/>
    </row>
    <row r="61" spans="1:14" ht="15.75">
      <c r="A61" s="13"/>
      <c r="B61" s="9" t="s">
        <v>148</v>
      </c>
      <c r="C61" s="286">
        <v>50</v>
      </c>
      <c r="D61" s="9" t="s">
        <v>34</v>
      </c>
      <c r="E61" s="125">
        <f>(C61*E59)/(VLOOKUP($B58,'Standard values'!$C$8:$R$131,13,FALSE))/(1-$C$24)/1000</f>
        <v>0.0020835416875020834</v>
      </c>
      <c r="F61" s="9" t="s">
        <v>301</v>
      </c>
      <c r="G61" s="9"/>
      <c r="H61" s="76">
        <f>$E61*VLOOKUP($B61,'Standard values'!$C$8:$R$131,14,FALSE)*VLOOKUP(C62,'Standard values'!$C$8:$P$131,6,FALSE)/$E$154</f>
        <v>0.29143883176183427</v>
      </c>
      <c r="I61" s="76">
        <f>$E61*VLOOKUP($B61,'Standard values'!$C$8:$R$131,15,FALSE)/$E$154</f>
        <v>1.7764161389847265E-05</v>
      </c>
      <c r="J61" s="76">
        <f>$E61*VLOOKUP($B61,'Standard values'!$C$8:$R$131,16,FALSE)/$E$154</f>
        <v>0</v>
      </c>
      <c r="K61" s="118">
        <f>H61*'Standard values'!$G$9+I61*'Standard values'!$G$10+J61*'Standard values'!$G$11</f>
        <v>0.2918474074738008</v>
      </c>
      <c r="L61" s="22"/>
      <c r="M61" s="128">
        <f>+K61/$E$25</f>
        <v>4.066584158415842</v>
      </c>
      <c r="N61" s="11"/>
    </row>
    <row r="62" spans="1:14" ht="12.75">
      <c r="A62" s="13"/>
      <c r="B62" s="23" t="s">
        <v>244</v>
      </c>
      <c r="C62" s="287" t="s">
        <v>33</v>
      </c>
      <c r="D62" s="9"/>
      <c r="E62" s="125"/>
      <c r="F62" s="9"/>
      <c r="G62" s="9"/>
      <c r="H62" s="76"/>
      <c r="I62" s="76"/>
      <c r="J62" s="76"/>
      <c r="K62" s="118"/>
      <c r="L62" s="22"/>
      <c r="M62" s="11"/>
      <c r="N62" s="11"/>
    </row>
    <row r="63" spans="1:14" ht="12.75">
      <c r="A63" s="13"/>
      <c r="B63" s="9"/>
      <c r="C63" s="9"/>
      <c r="D63" s="9"/>
      <c r="E63" s="13"/>
      <c r="F63" s="9"/>
      <c r="G63" s="83"/>
      <c r="H63" s="76"/>
      <c r="I63" s="76"/>
      <c r="J63" s="76"/>
      <c r="K63" s="118"/>
      <c r="L63" s="22"/>
      <c r="M63" s="11"/>
      <c r="N63" s="11"/>
    </row>
    <row r="64" spans="1:14" ht="15.75">
      <c r="A64" s="233"/>
      <c r="B64" s="234"/>
      <c r="C64" s="234"/>
      <c r="D64" s="234"/>
      <c r="E64" s="233"/>
      <c r="F64" s="235"/>
      <c r="G64" s="235" t="s">
        <v>60</v>
      </c>
      <c r="H64" s="234"/>
      <c r="I64" s="237" t="s">
        <v>351</v>
      </c>
      <c r="J64" s="240"/>
      <c r="K64" s="239">
        <f>K61</f>
        <v>0.2918474074738008</v>
      </c>
      <c r="L64" s="22"/>
      <c r="M64" s="11"/>
      <c r="N64" s="11"/>
    </row>
    <row r="65" spans="1:14" ht="12.75">
      <c r="A65" s="11"/>
      <c r="B65" s="11"/>
      <c r="C65" s="11"/>
      <c r="D65" s="11"/>
      <c r="E65" s="11"/>
      <c r="F65" s="47"/>
      <c r="G65" s="47"/>
      <c r="H65" s="11"/>
      <c r="I65" s="48"/>
      <c r="J65" s="49"/>
      <c r="K65" s="50"/>
      <c r="L65" s="22"/>
      <c r="M65" s="22"/>
      <c r="N65" s="22"/>
    </row>
    <row r="66" spans="1:14" ht="12.75">
      <c r="A66" s="11"/>
      <c r="B66" s="11"/>
      <c r="C66" s="335"/>
      <c r="D66" s="11"/>
      <c r="E66" s="11"/>
      <c r="F66" s="11"/>
      <c r="G66" s="11"/>
      <c r="H66" s="11"/>
      <c r="I66" s="11"/>
      <c r="J66" s="11"/>
      <c r="K66" s="46"/>
      <c r="L66" s="22"/>
      <c r="M66" s="22"/>
      <c r="N66" s="22"/>
    </row>
    <row r="67" spans="1:14" ht="15.75">
      <c r="A67" s="241" t="s">
        <v>307</v>
      </c>
      <c r="B67" s="242"/>
      <c r="C67" s="242"/>
      <c r="D67" s="242"/>
      <c r="E67" s="241" t="s">
        <v>37</v>
      </c>
      <c r="F67" s="243"/>
      <c r="G67" s="242"/>
      <c r="H67" s="243" t="s">
        <v>57</v>
      </c>
      <c r="I67" s="244"/>
      <c r="J67" s="244"/>
      <c r="K67" s="245"/>
      <c r="L67" s="22"/>
      <c r="M67" s="141"/>
      <c r="N67" s="22"/>
    </row>
    <row r="68" spans="1:14" ht="12.75">
      <c r="A68" s="13"/>
      <c r="B68" s="10" t="s">
        <v>49</v>
      </c>
      <c r="C68" s="9"/>
      <c r="D68" s="9"/>
      <c r="E68" s="106"/>
      <c r="F68" s="147"/>
      <c r="G68" s="9"/>
      <c r="H68" s="19" t="s">
        <v>350</v>
      </c>
      <c r="I68" s="18"/>
      <c r="J68" s="18"/>
      <c r="K68" s="79"/>
      <c r="L68" s="22"/>
      <c r="M68" s="56"/>
      <c r="N68" s="22"/>
    </row>
    <row r="69" spans="1:14" ht="15.75">
      <c r="A69" s="13"/>
      <c r="B69" s="9" t="s">
        <v>308</v>
      </c>
      <c r="C69" s="336">
        <f>405*36/23804</f>
        <v>0.612502100487313</v>
      </c>
      <c r="D69" s="9" t="s">
        <v>312</v>
      </c>
      <c r="E69" s="106">
        <f>E58*C69</f>
        <v>44861.47464487439</v>
      </c>
      <c r="F69" s="39" t="s">
        <v>326</v>
      </c>
      <c r="G69" s="9"/>
      <c r="H69" s="45" t="s">
        <v>88</v>
      </c>
      <c r="I69" s="45" t="s">
        <v>89</v>
      </c>
      <c r="J69" s="45" t="s">
        <v>90</v>
      </c>
      <c r="K69" s="80" t="s">
        <v>91</v>
      </c>
      <c r="L69" s="22"/>
      <c r="M69" s="142"/>
      <c r="N69" s="22"/>
    </row>
    <row r="70" spans="1:14" ht="15.75">
      <c r="A70" s="84"/>
      <c r="B70" s="85" t="s">
        <v>309</v>
      </c>
      <c r="C70" s="336">
        <f>1-C69</f>
        <v>0.387497899512687</v>
      </c>
      <c r="D70" s="9" t="s">
        <v>339</v>
      </c>
      <c r="E70" s="124">
        <f>E59*C69</f>
        <v>0.6064377232547653</v>
      </c>
      <c r="F70" s="85" t="s">
        <v>296</v>
      </c>
      <c r="G70" s="9"/>
      <c r="H70" s="9"/>
      <c r="I70" s="9"/>
      <c r="J70" s="9"/>
      <c r="K70" s="81"/>
      <c r="L70" s="22"/>
      <c r="M70" s="22"/>
      <c r="N70" s="22"/>
    </row>
    <row r="71" spans="1:14" ht="12.75">
      <c r="A71" s="84"/>
      <c r="B71" s="85"/>
      <c r="C71" s="337"/>
      <c r="D71" s="85"/>
      <c r="E71" s="84"/>
      <c r="F71" s="9"/>
      <c r="G71" s="9"/>
      <c r="H71" s="9"/>
      <c r="I71" s="9"/>
      <c r="J71" s="9"/>
      <c r="K71" s="81"/>
      <c r="L71" s="22"/>
      <c r="M71" s="22"/>
      <c r="N71" s="22"/>
    </row>
    <row r="72" spans="1:14" ht="12.75">
      <c r="A72" s="13"/>
      <c r="B72" s="10" t="s">
        <v>50</v>
      </c>
      <c r="C72" s="333"/>
      <c r="D72" s="9"/>
      <c r="E72" s="38"/>
      <c r="F72" s="9"/>
      <c r="G72" s="9"/>
      <c r="H72" s="9"/>
      <c r="I72" s="9"/>
      <c r="J72" s="9"/>
      <c r="K72" s="81"/>
      <c r="L72" s="22"/>
      <c r="M72" s="22"/>
      <c r="N72" s="22"/>
    </row>
    <row r="73" spans="1:14" ht="15.75">
      <c r="A73" s="13"/>
      <c r="B73" s="9" t="s">
        <v>237</v>
      </c>
      <c r="C73" s="336">
        <f>1.4*34*3.6/(405*36)</f>
        <v>0.011753086419753086</v>
      </c>
      <c r="D73" s="9" t="s">
        <v>313</v>
      </c>
      <c r="E73" s="13"/>
      <c r="F73" s="9"/>
      <c r="G73" s="9"/>
      <c r="H73" s="76">
        <f>$C73*$E$70*VLOOKUP($B73,'Standard values'!$C$8:$R$131,6,FALSE)/$E$154</f>
        <v>1.4506991053123834</v>
      </c>
      <c r="I73" s="76">
        <f>$C73*$E$70*VLOOKUP($B73,'Standard values'!$C$8:$R$131,7,FALSE)/$E$154</f>
        <v>0.003537756921062478</v>
      </c>
      <c r="J73" s="76">
        <f>$C73*$E$70*VLOOKUP($B73,'Standard values'!$C$8:$R$131,8,FALSE)/$E$154</f>
        <v>6.549526125452052E-05</v>
      </c>
      <c r="K73" s="91">
        <f>H73*'Standard values'!$G$9+I73*'Standard values'!$G$10+J73*'Standard values'!$G$11</f>
        <v>1.5514541118281584</v>
      </c>
      <c r="L73" s="22"/>
      <c r="M73" s="143"/>
      <c r="N73" s="22"/>
    </row>
    <row r="74" spans="1:14" ht="15.75">
      <c r="A74" s="13"/>
      <c r="B74" s="9" t="s">
        <v>25</v>
      </c>
      <c r="C74" s="336">
        <f>1.4*580/(405*36)</f>
        <v>0.05569272976680384</v>
      </c>
      <c r="D74" s="9" t="s">
        <v>313</v>
      </c>
      <c r="E74" s="13"/>
      <c r="F74" s="9"/>
      <c r="G74" s="9"/>
      <c r="H74" s="76">
        <f>$C74*$E$70*VLOOKUP($B74,'Standard values'!$C$8:$R$131,6,FALSE)/$E$154</f>
        <v>4.1665750907116434</v>
      </c>
      <c r="I74" s="76">
        <f>$C74*$E$70*VLOOKUP($B74,'Standard values'!$C$8:$R$131,7,FALSE)/$E$154</f>
        <v>0.013174237151849235</v>
      </c>
      <c r="J74" s="76">
        <f>$C74*$E$70*VLOOKUP($B74,'Standard values'!$C$8:$R$131,8,FALSE)/$E$154</f>
        <v>8.441753651435864E-05</v>
      </c>
      <c r="K74" s="91">
        <f>H74*'Standard values'!$G$9+I74*'Standard values'!$G$10+J74*'Standard values'!$G$11</f>
        <v>4.494570136012426</v>
      </c>
      <c r="L74" s="22"/>
      <c r="M74" s="143"/>
      <c r="N74" s="22"/>
    </row>
    <row r="75" spans="1:14" ht="12.75">
      <c r="A75" s="13"/>
      <c r="B75" s="9"/>
      <c r="C75" s="333"/>
      <c r="D75" s="333"/>
      <c r="E75" s="13"/>
      <c r="F75" s="9"/>
      <c r="G75" s="9"/>
      <c r="H75" s="76"/>
      <c r="I75" s="76"/>
      <c r="J75" s="76"/>
      <c r="K75" s="91"/>
      <c r="L75" s="22"/>
      <c r="M75" s="143"/>
      <c r="N75" s="22"/>
    </row>
    <row r="76" spans="1:14" ht="12.75">
      <c r="A76" s="13"/>
      <c r="B76" s="10" t="s">
        <v>310</v>
      </c>
      <c r="C76" s="333"/>
      <c r="D76" s="9"/>
      <c r="E76" s="13"/>
      <c r="F76" s="9"/>
      <c r="G76" s="9"/>
      <c r="H76" s="76"/>
      <c r="I76" s="76"/>
      <c r="J76" s="76"/>
      <c r="K76" s="91"/>
      <c r="L76" s="22"/>
      <c r="M76" s="143"/>
      <c r="N76" s="22"/>
    </row>
    <row r="77" spans="1:14" ht="15.75">
      <c r="A77" s="13"/>
      <c r="B77" s="147" t="s">
        <v>142</v>
      </c>
      <c r="C77" s="336">
        <f>1.4*1*12.53*3.6/(405*36)</f>
        <v>0.004331358024691358</v>
      </c>
      <c r="D77" s="9" t="s">
        <v>313</v>
      </c>
      <c r="E77" s="13"/>
      <c r="F77" s="9"/>
      <c r="G77" s="9"/>
      <c r="H77" s="76">
        <f>$C77*$E$70*VLOOKUP($B77,'Standard values'!$C$8:$R$131,6,FALSE)/$E$154</f>
        <v>0.35869468808454924</v>
      </c>
      <c r="I77" s="76">
        <f>$C77*$E$70*VLOOKUP($B77,'Standard values'!$C$8:$R$131,7,FALSE)/$E$154</f>
        <v>6.51945947125577E-05</v>
      </c>
      <c r="J77" s="76">
        <f>$C77*$E$70*VLOOKUP($B77,'Standard values'!$C$8:$R$131,8,FALSE)/$E$154</f>
        <v>1.2441716548198031E-06</v>
      </c>
      <c r="K77" s="91">
        <f>H77*'Standard values'!$G$9+I77*'Standard values'!$G$10+J77*'Standard values'!$G$11</f>
        <v>0.3605624385727647</v>
      </c>
      <c r="L77" s="22"/>
      <c r="M77" s="143"/>
      <c r="N77" s="22"/>
    </row>
    <row r="78" spans="1:14" ht="12.75">
      <c r="A78" s="13"/>
      <c r="B78" s="9"/>
      <c r="C78" s="39"/>
      <c r="D78" s="39"/>
      <c r="E78" s="107"/>
      <c r="F78" s="9"/>
      <c r="G78" s="9"/>
      <c r="H78" s="88">
        <f>SUM(H70:H77)</f>
        <v>5.9759688841085765</v>
      </c>
      <c r="I78" s="88">
        <f>SUM(I70:I77)</f>
        <v>0.01677718866762427</v>
      </c>
      <c r="J78" s="88">
        <f>SUM(J70:J77)</f>
        <v>0.00015115696942369895</v>
      </c>
      <c r="K78" s="118">
        <f>H78*'Standard values'!$G$9+I78*'Standard values'!$G$10+J78*'Standard values'!$G$11</f>
        <v>6.40658668641335</v>
      </c>
      <c r="L78" s="22"/>
      <c r="M78" s="144"/>
      <c r="N78" s="22"/>
    </row>
    <row r="79" spans="1:14" ht="12.75">
      <c r="A79" s="13"/>
      <c r="B79" s="89"/>
      <c r="C79" s="39"/>
      <c r="D79" s="39"/>
      <c r="E79" s="13"/>
      <c r="F79" s="9"/>
      <c r="G79" s="9"/>
      <c r="H79" s="9"/>
      <c r="I79" s="9"/>
      <c r="J79" s="9"/>
      <c r="K79" s="81"/>
      <c r="L79" s="22"/>
      <c r="M79" s="22"/>
      <c r="N79" s="22"/>
    </row>
    <row r="80" spans="1:14" ht="15.75">
      <c r="A80" s="233"/>
      <c r="B80" s="234"/>
      <c r="C80" s="234"/>
      <c r="D80" s="234"/>
      <c r="E80" s="233"/>
      <c r="F80" s="235"/>
      <c r="G80" s="235" t="s">
        <v>60</v>
      </c>
      <c r="H80" s="234"/>
      <c r="I80" s="237" t="s">
        <v>351</v>
      </c>
      <c r="J80" s="240"/>
      <c r="K80" s="239">
        <f>K78</f>
        <v>6.40658668641335</v>
      </c>
      <c r="L80" s="22"/>
      <c r="M80" s="22"/>
      <c r="N80" s="22"/>
    </row>
    <row r="81" spans="1:14" ht="12.75">
      <c r="A81" s="11"/>
      <c r="B81" s="11"/>
      <c r="C81" s="11"/>
      <c r="D81" s="11"/>
      <c r="E81" s="11"/>
      <c r="F81" s="47"/>
      <c r="G81" s="47"/>
      <c r="H81" s="11"/>
      <c r="I81" s="48"/>
      <c r="J81" s="49"/>
      <c r="K81" s="59"/>
      <c r="L81" s="22"/>
      <c r="M81" s="11"/>
      <c r="N81" s="11"/>
    </row>
    <row r="82" spans="1:14" ht="12.75">
      <c r="A82" s="11"/>
      <c r="B82" s="11"/>
      <c r="C82" s="11"/>
      <c r="D82" s="11"/>
      <c r="E82" s="11"/>
      <c r="F82" s="47"/>
      <c r="G82" s="47"/>
      <c r="H82" s="11"/>
      <c r="I82" s="48"/>
      <c r="J82" s="49"/>
      <c r="K82" s="59"/>
      <c r="L82" s="22"/>
      <c r="M82" s="11"/>
      <c r="N82" s="11"/>
    </row>
    <row r="83" spans="1:14" ht="15.75">
      <c r="A83" s="241" t="s">
        <v>92</v>
      </c>
      <c r="B83" s="242"/>
      <c r="C83" s="242"/>
      <c r="D83" s="242"/>
      <c r="E83" s="247" t="s">
        <v>51</v>
      </c>
      <c r="F83" s="248"/>
      <c r="G83" s="248"/>
      <c r="H83" s="249"/>
      <c r="I83" s="247" t="s">
        <v>83</v>
      </c>
      <c r="J83" s="249"/>
      <c r="K83" s="250">
        <f>K43+K54+K64+K80</f>
        <v>55.09911914638219</v>
      </c>
      <c r="L83" s="22"/>
      <c r="M83" s="11"/>
      <c r="N83" s="11"/>
    </row>
    <row r="84" spans="1:14" ht="15.75">
      <c r="A84" s="251" t="s">
        <v>58</v>
      </c>
      <c r="B84" s="252"/>
      <c r="C84" s="252"/>
      <c r="D84" s="252"/>
      <c r="E84" s="253"/>
      <c r="F84" s="253"/>
      <c r="G84" s="253"/>
      <c r="H84" s="253"/>
      <c r="I84" s="253"/>
      <c r="J84" s="253"/>
      <c r="K84" s="254"/>
      <c r="L84" s="22"/>
      <c r="M84" s="11"/>
      <c r="N84" s="11"/>
    </row>
    <row r="85" spans="1:14" ht="15.75">
      <c r="A85" s="13"/>
      <c r="B85" s="9"/>
      <c r="C85" s="9"/>
      <c r="D85" s="23"/>
      <c r="E85" s="23"/>
      <c r="F85" s="23"/>
      <c r="G85" s="23" t="s">
        <v>340</v>
      </c>
      <c r="H85" s="88">
        <f>K83</f>
        <v>55.09911914638219</v>
      </c>
      <c r="I85" s="9" t="s">
        <v>273</v>
      </c>
      <c r="J85" s="9"/>
      <c r="K85" s="95"/>
      <c r="L85" s="22"/>
      <c r="M85" s="11"/>
      <c r="N85" s="11"/>
    </row>
    <row r="86" spans="1:14" ht="15.75">
      <c r="A86" s="13"/>
      <c r="B86" s="9" t="s">
        <v>238</v>
      </c>
      <c r="C86" s="9" t="s">
        <v>308</v>
      </c>
      <c r="D86" s="9"/>
      <c r="E86" s="23" t="s">
        <v>332</v>
      </c>
      <c r="F86" s="326">
        <v>1</v>
      </c>
      <c r="G86" s="9" t="s">
        <v>30</v>
      </c>
      <c r="H86" s="76">
        <f>$H$85*F86/F$88</f>
        <v>33.74832621215982</v>
      </c>
      <c r="I86" s="9" t="s">
        <v>273</v>
      </c>
      <c r="J86" s="9"/>
      <c r="K86" s="95"/>
      <c r="L86" s="22"/>
      <c r="M86" s="11"/>
      <c r="N86" s="11"/>
    </row>
    <row r="87" spans="1:14" ht="15.75">
      <c r="A87" s="13"/>
      <c r="B87" s="9" t="s">
        <v>239</v>
      </c>
      <c r="C87" s="9" t="s">
        <v>331</v>
      </c>
      <c r="D87" s="9"/>
      <c r="E87" s="23" t="s">
        <v>338</v>
      </c>
      <c r="F87" s="326">
        <f>C70/C69</f>
        <v>0.632647462277092</v>
      </c>
      <c r="G87" s="9" t="s">
        <v>30</v>
      </c>
      <c r="H87" s="76">
        <f>$H$85*F87/F$88</f>
        <v>21.350792934222373</v>
      </c>
      <c r="I87" s="9" t="s">
        <v>273</v>
      </c>
      <c r="J87" s="9"/>
      <c r="K87" s="95"/>
      <c r="L87" s="22"/>
      <c r="M87" s="11"/>
      <c r="N87" s="11"/>
    </row>
    <row r="88" spans="1:14" ht="12.75">
      <c r="A88" s="13"/>
      <c r="B88" s="9"/>
      <c r="C88" s="9"/>
      <c r="D88" s="9"/>
      <c r="E88" s="9" t="s">
        <v>59</v>
      </c>
      <c r="F88" s="326">
        <f>SUM(F86:F87)</f>
        <v>1.6326474622770921</v>
      </c>
      <c r="G88" s="9" t="s">
        <v>30</v>
      </c>
      <c r="H88" s="9"/>
      <c r="I88" s="9"/>
      <c r="J88" s="9"/>
      <c r="K88" s="95"/>
      <c r="L88" s="22"/>
      <c r="M88" s="11"/>
      <c r="N88" s="11"/>
    </row>
    <row r="89" spans="1:14" ht="15.75">
      <c r="A89" s="233"/>
      <c r="B89" s="234"/>
      <c r="C89" s="234"/>
      <c r="D89" s="234"/>
      <c r="E89" s="237" t="s">
        <v>93</v>
      </c>
      <c r="F89" s="235"/>
      <c r="G89" s="260"/>
      <c r="H89" s="234"/>
      <c r="I89" s="237" t="s">
        <v>351</v>
      </c>
      <c r="J89" s="260"/>
      <c r="K89" s="239">
        <f>H86</f>
        <v>33.74832621215982</v>
      </c>
      <c r="L89" s="22"/>
      <c r="M89" s="22"/>
      <c r="N89" s="22"/>
    </row>
    <row r="90" spans="1:14" ht="12.75">
      <c r="A90" s="11"/>
      <c r="B90" s="11"/>
      <c r="C90" s="11"/>
      <c r="D90" s="22"/>
      <c r="E90" s="22"/>
      <c r="F90" s="49"/>
      <c r="G90" s="66"/>
      <c r="H90" s="56"/>
      <c r="I90" s="22"/>
      <c r="J90" s="22"/>
      <c r="K90" s="71"/>
      <c r="L90" s="22"/>
      <c r="M90" s="22"/>
      <c r="N90" s="22"/>
    </row>
    <row r="91" spans="1:14" ht="12.75">
      <c r="A91" s="11"/>
      <c r="B91" s="11"/>
      <c r="C91" s="11"/>
      <c r="D91" s="22"/>
      <c r="E91" s="22"/>
      <c r="F91" s="49"/>
      <c r="G91" s="66"/>
      <c r="H91" s="56"/>
      <c r="I91" s="22"/>
      <c r="J91" s="22"/>
      <c r="K91" s="71"/>
      <c r="L91" s="22"/>
      <c r="M91" s="22"/>
      <c r="N91" s="22"/>
    </row>
    <row r="92" spans="1:14" ht="15.75">
      <c r="A92" s="241" t="s">
        <v>341</v>
      </c>
      <c r="B92" s="242"/>
      <c r="C92" s="242"/>
      <c r="D92" s="242"/>
      <c r="E92" s="241" t="s">
        <v>37</v>
      </c>
      <c r="F92" s="243"/>
      <c r="G92" s="242"/>
      <c r="H92" s="243" t="s">
        <v>57</v>
      </c>
      <c r="I92" s="244"/>
      <c r="J92" s="244"/>
      <c r="K92" s="245"/>
      <c r="L92" s="22"/>
      <c r="M92" s="141"/>
      <c r="N92" s="22"/>
    </row>
    <row r="93" spans="1:14" ht="12.75">
      <c r="A93" s="13"/>
      <c r="B93" s="10" t="s">
        <v>49</v>
      </c>
      <c r="C93" s="9"/>
      <c r="D93" s="9"/>
      <c r="E93" s="106"/>
      <c r="F93" s="39"/>
      <c r="G93" s="9"/>
      <c r="H93" s="19" t="s">
        <v>350</v>
      </c>
      <c r="I93" s="18"/>
      <c r="J93" s="18"/>
      <c r="K93" s="79"/>
      <c r="L93" s="22"/>
      <c r="M93" s="56"/>
      <c r="N93" s="22"/>
    </row>
    <row r="94" spans="1:14" ht="15.75">
      <c r="A94" s="13"/>
      <c r="B94" s="9" t="s">
        <v>353</v>
      </c>
      <c r="C94" s="336">
        <f>1/(45.5/44)</f>
        <v>0.9670329670329669</v>
      </c>
      <c r="D94" s="9" t="s">
        <v>343</v>
      </c>
      <c r="E94" s="106">
        <f>E69*C94</f>
        <v>43382.524931307096</v>
      </c>
      <c r="F94" s="39" t="s">
        <v>346</v>
      </c>
      <c r="G94" s="9"/>
      <c r="H94" s="45" t="s">
        <v>88</v>
      </c>
      <c r="I94" s="45" t="s">
        <v>89</v>
      </c>
      <c r="J94" s="45" t="s">
        <v>90</v>
      </c>
      <c r="K94" s="80" t="s">
        <v>91</v>
      </c>
      <c r="L94" s="22"/>
      <c r="M94" s="142"/>
      <c r="N94" s="22"/>
    </row>
    <row r="95" spans="1:14" ht="15.75">
      <c r="A95" s="84"/>
      <c r="B95" s="85"/>
      <c r="C95" s="86"/>
      <c r="D95" s="85"/>
      <c r="E95" s="124">
        <f>E70*C94</f>
        <v>0.5864452708397729</v>
      </c>
      <c r="F95" s="85" t="s">
        <v>296</v>
      </c>
      <c r="G95" s="9"/>
      <c r="H95" s="9"/>
      <c r="I95" s="9"/>
      <c r="J95" s="9"/>
      <c r="K95" s="81"/>
      <c r="L95" s="22"/>
      <c r="M95" s="22"/>
      <c r="N95" s="22"/>
    </row>
    <row r="96" spans="1:14" ht="12.75">
      <c r="A96" s="84"/>
      <c r="B96" s="10" t="s">
        <v>50</v>
      </c>
      <c r="C96" s="9"/>
      <c r="D96" s="85"/>
      <c r="E96" s="84"/>
      <c r="F96" s="9"/>
      <c r="G96" s="9"/>
      <c r="H96" s="9"/>
      <c r="I96" s="9"/>
      <c r="J96" s="9"/>
      <c r="K96" s="81"/>
      <c r="L96" s="22"/>
      <c r="M96" s="22"/>
      <c r="N96" s="22"/>
    </row>
    <row r="97" spans="1:14" ht="15.75">
      <c r="A97" s="13"/>
      <c r="B97" s="9" t="s">
        <v>237</v>
      </c>
      <c r="C97" s="336">
        <f>1.4*-(218*3.6-(194+5.6)*3.6)/44000</f>
        <v>-0.002107636363636367</v>
      </c>
      <c r="D97" s="9" t="s">
        <v>345</v>
      </c>
      <c r="E97" s="38"/>
      <c r="F97" s="9"/>
      <c r="G97" s="9"/>
      <c r="H97" s="76">
        <f>$C97*$E$95*VLOOKUP($B97,'Standard values'!$C$8:$R$131,6,FALSE)/$E$154</f>
        <v>-0.2515720429090913</v>
      </c>
      <c r="I97" s="76">
        <f>$C97*$E$95*VLOOKUP($B97,'Standard values'!$C$8:$R$131,7,FALSE)/$E$154</f>
        <v>-0.0006134978181818192</v>
      </c>
      <c r="J97" s="76">
        <f>$C97*$E$95*VLOOKUP($B97,'Standard values'!$C$8:$R$131,8,FALSE)/$E$154</f>
        <v>-1.1357818181818201E-05</v>
      </c>
      <c r="K97" s="91">
        <f>H97*'Standard values'!$G$9+I97*'Standard values'!$G$10+J97*'Standard values'!$G$11</f>
        <v>-0.2690444069090913</v>
      </c>
      <c r="L97" s="22"/>
      <c r="M97" s="22"/>
      <c r="N97" s="22"/>
    </row>
    <row r="98" spans="1:14" ht="15.75">
      <c r="A98" s="13"/>
      <c r="B98" s="9" t="s">
        <v>25</v>
      </c>
      <c r="C98" s="336">
        <f>1.4*-(1.52-1.17)/44</f>
        <v>-0.011136363636363639</v>
      </c>
      <c r="D98" s="9" t="s">
        <v>345</v>
      </c>
      <c r="E98" s="13"/>
      <c r="F98" s="9"/>
      <c r="G98" s="9"/>
      <c r="H98" s="76">
        <f>$C98*$E$95*VLOOKUP($B98,'Standard values'!$C$8:$R$131,6,FALSE)/$E$154</f>
        <v>-0.8056852098484849</v>
      </c>
      <c r="I98" s="76">
        <f>$C98*$E$95*VLOOKUP($B98,'Standard values'!$C$8:$R$131,7,FALSE)/$E$154</f>
        <v>-0.0025474851150392823</v>
      </c>
      <c r="J98" s="76">
        <f>$C98*$E$95*VLOOKUP($B98,'Standard values'!$C$8:$R$131,8,FALSE)/$E$154</f>
        <v>-1.6323709315375986E-05</v>
      </c>
      <c r="K98" s="91">
        <f>H98*'Standard values'!$G$9+I98*'Standard values'!$G$10+J98*'Standard values'!$G$11</f>
        <v>-0.8691091854517398</v>
      </c>
      <c r="L98" s="22"/>
      <c r="M98" s="143"/>
      <c r="N98" s="22"/>
    </row>
    <row r="99" spans="1:14" ht="12.75">
      <c r="A99" s="13"/>
      <c r="B99" s="9"/>
      <c r="C99" s="333"/>
      <c r="D99" s="9"/>
      <c r="E99" s="13"/>
      <c r="F99" s="9"/>
      <c r="G99" s="9"/>
      <c r="H99" s="76"/>
      <c r="I99" s="76"/>
      <c r="J99" s="76"/>
      <c r="K99" s="91"/>
      <c r="L99" s="22"/>
      <c r="M99" s="143"/>
      <c r="N99" s="22"/>
    </row>
    <row r="100" spans="1:14" ht="12.75">
      <c r="A100" s="13"/>
      <c r="B100" s="10" t="s">
        <v>310</v>
      </c>
      <c r="C100" s="333"/>
      <c r="D100" s="9"/>
      <c r="E100" s="13"/>
      <c r="F100" s="9"/>
      <c r="G100" s="9"/>
      <c r="H100" s="76"/>
      <c r="I100" s="76"/>
      <c r="J100" s="76"/>
      <c r="K100" s="91"/>
      <c r="L100" s="22"/>
      <c r="M100" s="143"/>
      <c r="N100" s="22"/>
    </row>
    <row r="101" spans="1:14" ht="15.75">
      <c r="A101" s="13"/>
      <c r="B101" s="147" t="s">
        <v>146</v>
      </c>
      <c r="C101" s="336">
        <f>1.4*3.77/44</f>
        <v>0.11995454545454544</v>
      </c>
      <c r="D101" s="9" t="s">
        <v>345</v>
      </c>
      <c r="E101" s="13"/>
      <c r="F101" s="9"/>
      <c r="G101" s="9"/>
      <c r="H101" s="76">
        <f>$C101*$E$95*VLOOKUP($B101,'Standard values'!$C$8:$R$131,6,FALSE)/$E$154</f>
        <v>9.700540827020202</v>
      </c>
      <c r="I101" s="76">
        <f>$C101*$E$95*VLOOKUP($B101,'Standard values'!$C$8:$R$131,7,FALSE)/$E$154</f>
        <v>0.033164099747474744</v>
      </c>
      <c r="J101" s="76">
        <f>$C101*$E$95*VLOOKUP($B101,'Standard values'!$C$8:$R$131,8,FALSE)/$E$154</f>
        <v>3.665277777777777E-05</v>
      </c>
      <c r="K101" s="91">
        <f>H101*'Standard values'!$G$9+I101*'Standard values'!$G$10+J101*'Standard values'!$G$11</f>
        <v>10.474164343434342</v>
      </c>
      <c r="L101" s="22"/>
      <c r="M101" s="143"/>
      <c r="N101" s="22"/>
    </row>
    <row r="102" spans="1:14" ht="12.75">
      <c r="A102" s="13"/>
      <c r="B102" s="89"/>
      <c r="C102" s="39"/>
      <c r="D102" s="39"/>
      <c r="E102" s="107"/>
      <c r="F102" s="9"/>
      <c r="G102" s="9"/>
      <c r="H102" s="88">
        <f>SUM(H95:H101)</f>
        <v>8.643283574262625</v>
      </c>
      <c r="I102" s="88">
        <f>SUM(I95:I101)</f>
        <v>0.030003116814253643</v>
      </c>
      <c r="J102" s="88">
        <f>SUM(J95:J101)</f>
        <v>8.971250280583584E-06</v>
      </c>
      <c r="K102" s="118">
        <f>H102*'Standard values'!$G$9+I102*'Standard values'!$G$10+J102*'Standard values'!$G$11</f>
        <v>9.33601075107351</v>
      </c>
      <c r="L102" s="22"/>
      <c r="M102" s="144"/>
      <c r="N102" s="22"/>
    </row>
    <row r="103" spans="1:14" ht="12.75">
      <c r="A103" s="13"/>
      <c r="B103" s="89"/>
      <c r="C103" s="39"/>
      <c r="D103" s="39"/>
      <c r="E103" s="13"/>
      <c r="F103" s="9"/>
      <c r="G103" s="9"/>
      <c r="H103" s="9"/>
      <c r="I103" s="9"/>
      <c r="J103" s="9"/>
      <c r="K103" s="81"/>
      <c r="L103" s="22"/>
      <c r="M103" s="22"/>
      <c r="N103" s="22"/>
    </row>
    <row r="104" spans="1:14" ht="15.75">
      <c r="A104" s="233"/>
      <c r="B104" s="234"/>
      <c r="C104" s="234"/>
      <c r="D104" s="234"/>
      <c r="E104" s="233"/>
      <c r="F104" s="235"/>
      <c r="G104" s="235" t="s">
        <v>60</v>
      </c>
      <c r="H104" s="234"/>
      <c r="I104" s="237" t="s">
        <v>351</v>
      </c>
      <c r="J104" s="240"/>
      <c r="K104" s="239">
        <f>K102</f>
        <v>9.33601075107351</v>
      </c>
      <c r="L104" s="22"/>
      <c r="M104" s="22"/>
      <c r="N104" s="22"/>
    </row>
    <row r="105" spans="1:14" ht="12.75">
      <c r="A105" s="11"/>
      <c r="B105" s="11"/>
      <c r="C105" s="11"/>
      <c r="D105" s="22"/>
      <c r="E105" s="22"/>
      <c r="F105" s="49"/>
      <c r="G105" s="66"/>
      <c r="H105" s="56"/>
      <c r="I105" s="22"/>
      <c r="J105" s="22"/>
      <c r="K105" s="71"/>
      <c r="L105" s="22"/>
      <c r="M105" s="22"/>
      <c r="N105" s="22"/>
    </row>
    <row r="106" spans="1:14" ht="12.75">
      <c r="A106" s="46"/>
      <c r="B106" s="59"/>
      <c r="C106" s="60"/>
      <c r="D106" s="11"/>
      <c r="E106" s="22"/>
      <c r="F106" s="22"/>
      <c r="G106" s="22"/>
      <c r="H106" s="22"/>
      <c r="I106" s="65"/>
      <c r="J106" s="22"/>
      <c r="K106" s="22"/>
      <c r="L106" s="22"/>
      <c r="M106" s="22"/>
      <c r="N106" s="22"/>
    </row>
    <row r="107" spans="1:14" ht="15.75">
      <c r="A107" s="241" t="s">
        <v>354</v>
      </c>
      <c r="B107" s="243" t="s">
        <v>102</v>
      </c>
      <c r="C107" s="242"/>
      <c r="D107" s="242"/>
      <c r="E107" s="241" t="s">
        <v>37</v>
      </c>
      <c r="F107" s="243"/>
      <c r="G107" s="242"/>
      <c r="H107" s="243" t="s">
        <v>57</v>
      </c>
      <c r="I107" s="244"/>
      <c r="J107" s="244"/>
      <c r="K107" s="245"/>
      <c r="L107" s="22"/>
      <c r="M107" s="141"/>
      <c r="N107" s="22"/>
    </row>
    <row r="108" spans="1:14" ht="15.75">
      <c r="A108" s="13"/>
      <c r="B108" s="10" t="s">
        <v>342</v>
      </c>
      <c r="C108" s="285">
        <v>1</v>
      </c>
      <c r="D108" s="9" t="s">
        <v>344</v>
      </c>
      <c r="E108" s="38">
        <f>E94*C108</f>
        <v>43382.524931307096</v>
      </c>
      <c r="F108" s="39" t="s">
        <v>346</v>
      </c>
      <c r="G108" s="90"/>
      <c r="H108" s="19" t="s">
        <v>350</v>
      </c>
      <c r="I108" s="18"/>
      <c r="J108" s="18"/>
      <c r="K108" s="79"/>
      <c r="L108" s="22"/>
      <c r="M108" s="56"/>
      <c r="N108" s="22"/>
    </row>
    <row r="109" spans="1:14" ht="15.75">
      <c r="A109" s="13"/>
      <c r="B109" s="9"/>
      <c r="C109" s="333"/>
      <c r="D109" s="9"/>
      <c r="E109" s="124">
        <f>E95*C108</f>
        <v>0.5864452708397729</v>
      </c>
      <c r="F109" s="85" t="s">
        <v>296</v>
      </c>
      <c r="G109" s="90"/>
      <c r="H109" s="45" t="s">
        <v>88</v>
      </c>
      <c r="I109" s="45" t="s">
        <v>89</v>
      </c>
      <c r="J109" s="45" t="s">
        <v>90</v>
      </c>
      <c r="K109" s="80" t="s">
        <v>91</v>
      </c>
      <c r="L109" s="22"/>
      <c r="M109" s="142"/>
      <c r="N109" s="22"/>
    </row>
    <row r="110" spans="1:14" ht="12.75">
      <c r="A110" s="13"/>
      <c r="B110" s="10" t="s">
        <v>27</v>
      </c>
      <c r="C110" s="333"/>
      <c r="D110" s="9"/>
      <c r="E110" s="38"/>
      <c r="F110" s="9"/>
      <c r="G110" s="9"/>
      <c r="H110" s="9"/>
      <c r="I110" s="9"/>
      <c r="J110" s="9"/>
      <c r="K110" s="81"/>
      <c r="L110" s="22"/>
      <c r="M110" s="22"/>
      <c r="N110" s="22"/>
    </row>
    <row r="111" spans="1:14" ht="15.75">
      <c r="A111" s="13"/>
      <c r="B111" s="9" t="s">
        <v>249</v>
      </c>
      <c r="C111" s="286">
        <f>2*150</f>
        <v>300</v>
      </c>
      <c r="D111" s="9" t="s">
        <v>34</v>
      </c>
      <c r="E111" s="125">
        <f>(C111*E109/VLOOKUP($B108,'Standard values'!$C$8:$R$131,13,FALSE))/1000</f>
        <v>0.0039984904829984515</v>
      </c>
      <c r="F111" s="9" t="s">
        <v>347</v>
      </c>
      <c r="G111" s="9"/>
      <c r="H111" s="76">
        <f>$E111*VLOOKUP($B111,'Standard values'!$C$8:$R$131,14,FALSE)*VLOOKUP(C112,'Standard values'!$C$8:$P$131,6,FALSE)/$E$154</f>
        <v>0.6023181818181818</v>
      </c>
      <c r="I111" s="76">
        <f>$E111*VLOOKUP($B111,'Standard values'!$C$8:$R$131,15,FALSE)/$E$154</f>
        <v>3.4090909090909085E-05</v>
      </c>
      <c r="J111" s="76">
        <f>$E111*VLOOKUP($B111,'Standard values'!$C$8:$R$131,16,FALSE)/$E$154</f>
        <v>0</v>
      </c>
      <c r="K111" s="118">
        <f>H111*'Standard values'!$G$9+I111*'Standard values'!$G$10+J111*'Standard values'!$G$11</f>
        <v>0.6031022727272727</v>
      </c>
      <c r="L111" s="22"/>
      <c r="M111" s="22"/>
      <c r="N111" s="22"/>
    </row>
    <row r="112" spans="1:14" ht="12.75">
      <c r="A112" s="13"/>
      <c r="B112" s="23" t="s">
        <v>244</v>
      </c>
      <c r="C112" s="287" t="s">
        <v>33</v>
      </c>
      <c r="D112" s="9"/>
      <c r="E112" s="13"/>
      <c r="F112" s="9"/>
      <c r="G112" s="9"/>
      <c r="H112" s="76"/>
      <c r="I112" s="76"/>
      <c r="J112" s="76"/>
      <c r="K112" s="118"/>
      <c r="L112" s="22"/>
      <c r="M112" s="22"/>
      <c r="N112" s="22"/>
    </row>
    <row r="113" spans="1:14" ht="12.75">
      <c r="A113" s="13"/>
      <c r="B113" s="9"/>
      <c r="C113" s="331"/>
      <c r="D113" s="9"/>
      <c r="E113" s="125"/>
      <c r="F113" s="9"/>
      <c r="G113" s="9"/>
      <c r="H113" s="76"/>
      <c r="I113" s="76"/>
      <c r="J113" s="76"/>
      <c r="K113" s="118"/>
      <c r="L113" s="22"/>
      <c r="M113" s="22"/>
      <c r="N113" s="22"/>
    </row>
    <row r="114" spans="1:14" ht="12.75">
      <c r="A114" s="13"/>
      <c r="B114" s="10" t="s">
        <v>103</v>
      </c>
      <c r="C114" s="333"/>
      <c r="D114" s="9"/>
      <c r="E114" s="13"/>
      <c r="F114" s="9"/>
      <c r="G114" s="9"/>
      <c r="H114" s="76"/>
      <c r="I114" s="76"/>
      <c r="J114" s="76"/>
      <c r="K114" s="87"/>
      <c r="L114" s="22"/>
      <c r="M114" s="22"/>
      <c r="N114" s="22"/>
    </row>
    <row r="115" spans="1:14" ht="15.75">
      <c r="A115" s="82"/>
      <c r="B115" s="9" t="s">
        <v>236</v>
      </c>
      <c r="C115" s="286">
        <v>0.00084</v>
      </c>
      <c r="D115" s="9" t="s">
        <v>345</v>
      </c>
      <c r="E115" s="13"/>
      <c r="F115" s="9"/>
      <c r="G115" s="9"/>
      <c r="H115" s="76">
        <f>$C115*$E$109*VLOOKUP($B115,'Standard values'!$C$8:$R$131,6,FALSE)/$E$154</f>
        <v>0.10146738</v>
      </c>
      <c r="I115" s="76">
        <f>$C115*$E$109*VLOOKUP($B115,'Standard values'!$C$8:$R$131,7,FALSE)/$E$154</f>
        <v>0.00024744999999999997</v>
      </c>
      <c r="J115" s="76">
        <f>$C115*$E$109*VLOOKUP($B115,'Standard values'!$C$8:$R$131,8,FALSE)/$E$154</f>
        <v>4.596666666666666E-06</v>
      </c>
      <c r="K115" s="118">
        <f>H115*'Standard values'!$G$9+I115*'Standard values'!$G$10+J115*'Standard values'!$G$11</f>
        <v>0.10851934333333332</v>
      </c>
      <c r="L115" s="22"/>
      <c r="M115" s="144"/>
      <c r="N115" s="22"/>
    </row>
    <row r="116" spans="1:14" ht="15.75">
      <c r="A116" s="233"/>
      <c r="B116" s="234"/>
      <c r="C116" s="234"/>
      <c r="D116" s="234"/>
      <c r="E116" s="233"/>
      <c r="F116" s="235"/>
      <c r="G116" s="235" t="s">
        <v>60</v>
      </c>
      <c r="H116" s="234"/>
      <c r="I116" s="237" t="s">
        <v>351</v>
      </c>
      <c r="J116" s="240"/>
      <c r="K116" s="239">
        <f>K115+K111</f>
        <v>0.711621616060606</v>
      </c>
      <c r="L116" s="22"/>
      <c r="M116" s="144"/>
      <c r="N116" s="22"/>
    </row>
    <row r="117" spans="1:14" ht="12.75">
      <c r="A117" s="11"/>
      <c r="B117" s="11"/>
      <c r="C117" s="11"/>
      <c r="D117" s="11"/>
      <c r="E117" s="11"/>
      <c r="F117" s="47"/>
      <c r="G117" s="47"/>
      <c r="H117" s="11"/>
      <c r="I117" s="48"/>
      <c r="J117" s="49"/>
      <c r="K117" s="50"/>
      <c r="L117" s="22"/>
      <c r="M117" s="22"/>
      <c r="N117" s="22"/>
    </row>
    <row r="118" spans="1:14" ht="12.75">
      <c r="A118" s="11"/>
      <c r="B118" s="11"/>
      <c r="C118" s="11"/>
      <c r="D118" s="11"/>
      <c r="E118" s="11"/>
      <c r="F118" s="47"/>
      <c r="G118" s="47"/>
      <c r="H118" s="11"/>
      <c r="I118" s="48"/>
      <c r="J118" s="49"/>
      <c r="K118" s="50"/>
      <c r="L118" s="22"/>
      <c r="M118" s="22"/>
      <c r="N118" s="22"/>
    </row>
    <row r="119" spans="1:14" ht="15.75">
      <c r="A119" s="241" t="s">
        <v>94</v>
      </c>
      <c r="B119" s="242"/>
      <c r="C119" s="242"/>
      <c r="D119" s="242"/>
      <c r="E119" s="241" t="s">
        <v>37</v>
      </c>
      <c r="F119" s="242"/>
      <c r="G119" s="242"/>
      <c r="H119" s="242"/>
      <c r="I119" s="242"/>
      <c r="J119" s="242"/>
      <c r="K119" s="255"/>
      <c r="L119" s="22"/>
      <c r="M119" s="141"/>
      <c r="N119" s="22"/>
    </row>
    <row r="120" spans="1:14" ht="15.75">
      <c r="A120" s="13"/>
      <c r="B120" s="10" t="s">
        <v>49</v>
      </c>
      <c r="C120" s="338">
        <v>1</v>
      </c>
      <c r="D120" s="9" t="s">
        <v>344</v>
      </c>
      <c r="E120" s="38">
        <f>E108*C120</f>
        <v>43382.524931307096</v>
      </c>
      <c r="F120" s="39" t="s">
        <v>346</v>
      </c>
      <c r="G120" s="9"/>
      <c r="H120" s="19" t="s">
        <v>350</v>
      </c>
      <c r="I120" s="18"/>
      <c r="J120" s="18"/>
      <c r="K120" s="79"/>
      <c r="L120" s="22"/>
      <c r="M120" s="56"/>
      <c r="N120" s="22"/>
    </row>
    <row r="121" spans="1:14" ht="15.75">
      <c r="A121" s="13"/>
      <c r="B121" s="9"/>
      <c r="C121" s="333"/>
      <c r="D121" s="9"/>
      <c r="E121" s="124">
        <f>E109*C120</f>
        <v>0.5864452708397729</v>
      </c>
      <c r="F121" s="85" t="s">
        <v>296</v>
      </c>
      <c r="G121" s="9"/>
      <c r="H121" s="45" t="s">
        <v>88</v>
      </c>
      <c r="I121" s="45" t="s">
        <v>89</v>
      </c>
      <c r="J121" s="45" t="s">
        <v>90</v>
      </c>
      <c r="K121" s="80" t="s">
        <v>91</v>
      </c>
      <c r="L121" s="22"/>
      <c r="M121" s="142"/>
      <c r="N121" s="22"/>
    </row>
    <row r="122" spans="1:14" ht="12.75">
      <c r="A122" s="13"/>
      <c r="B122" s="10" t="s">
        <v>50</v>
      </c>
      <c r="C122" s="333"/>
      <c r="D122" s="9"/>
      <c r="E122" s="13"/>
      <c r="F122" s="9"/>
      <c r="G122" s="9"/>
      <c r="H122" s="76"/>
      <c r="I122" s="76"/>
      <c r="J122" s="76"/>
      <c r="K122" s="87"/>
      <c r="L122" s="22"/>
      <c r="M122" s="22"/>
      <c r="N122" s="22"/>
    </row>
    <row r="123" spans="1:14" ht="15.75">
      <c r="A123" s="13"/>
      <c r="B123" s="9" t="s">
        <v>236</v>
      </c>
      <c r="C123" s="339">
        <v>0.0034</v>
      </c>
      <c r="D123" s="9" t="s">
        <v>345</v>
      </c>
      <c r="E123" s="13"/>
      <c r="F123" s="9"/>
      <c r="G123" s="9"/>
      <c r="H123" s="76">
        <f>$C123*$E$109*VLOOKUP($B123,'Standard values'!$C$8:$R$131,6,FALSE)/$E$154</f>
        <v>0.4107013</v>
      </c>
      <c r="I123" s="76">
        <f>$C123*$E$109*VLOOKUP($B123,'Standard values'!$C$8:$R$131,7,FALSE)/$E$154</f>
        <v>0.0010015833333333333</v>
      </c>
      <c r="J123" s="76">
        <f>$C123*$E$109*VLOOKUP($B123,'Standard values'!$C$8:$R$131,8,FALSE)/$E$154</f>
        <v>1.8605555555555555E-05</v>
      </c>
      <c r="K123" s="118">
        <f>H123*'Standard values'!$G$9+I123*'Standard values'!$G$10+J123*'Standard values'!$G$11</f>
        <v>0.4392449611111111</v>
      </c>
      <c r="L123" s="22"/>
      <c r="M123" s="144"/>
      <c r="N123" s="22"/>
    </row>
    <row r="124" spans="1:14" ht="15.75">
      <c r="A124" s="233"/>
      <c r="B124" s="234"/>
      <c r="C124" s="278"/>
      <c r="D124" s="234"/>
      <c r="E124" s="233"/>
      <c r="F124" s="235"/>
      <c r="G124" s="235" t="s">
        <v>60</v>
      </c>
      <c r="H124" s="234"/>
      <c r="I124" s="237" t="s">
        <v>351</v>
      </c>
      <c r="J124" s="240"/>
      <c r="K124" s="239">
        <f>K123</f>
        <v>0.4392449611111111</v>
      </c>
      <c r="L124" s="22"/>
      <c r="M124" s="22"/>
      <c r="N124" s="22"/>
    </row>
    <row r="125" spans="1:14" ht="12.75">
      <c r="A125" s="11"/>
      <c r="B125" s="11"/>
      <c r="C125" s="11"/>
      <c r="D125" s="11"/>
      <c r="E125" s="11"/>
      <c r="F125" s="47"/>
      <c r="G125" s="47"/>
      <c r="H125" s="11"/>
      <c r="I125" s="48"/>
      <c r="J125" s="49"/>
      <c r="K125" s="72"/>
      <c r="L125" s="22"/>
      <c r="M125" s="22"/>
      <c r="N125" s="22"/>
    </row>
    <row r="126" spans="1:14" ht="12.75">
      <c r="A126" s="11"/>
      <c r="B126" s="11"/>
      <c r="C126" s="11"/>
      <c r="D126" s="11"/>
      <c r="E126" s="11"/>
      <c r="F126" s="47"/>
      <c r="G126" s="47"/>
      <c r="H126" s="11"/>
      <c r="I126" s="48"/>
      <c r="J126" s="49"/>
      <c r="K126" s="72"/>
      <c r="L126" s="22"/>
      <c r="M126" s="22"/>
      <c r="N126" s="22"/>
    </row>
    <row r="127" spans="1:14" ht="15.75">
      <c r="A127" s="241" t="s">
        <v>263</v>
      </c>
      <c r="B127" s="256"/>
      <c r="C127" s="257"/>
      <c r="D127" s="242"/>
      <c r="E127" s="258"/>
      <c r="F127" s="242"/>
      <c r="G127" s="242"/>
      <c r="H127" s="242"/>
      <c r="I127" s="242"/>
      <c r="J127" s="242"/>
      <c r="K127" s="259"/>
      <c r="L127" s="22"/>
      <c r="M127" s="22"/>
      <c r="N127" s="22"/>
    </row>
    <row r="128" spans="1:14" ht="15.75">
      <c r="A128" s="92"/>
      <c r="B128" s="21" t="s">
        <v>266</v>
      </c>
      <c r="C128" s="19"/>
      <c r="D128" s="9"/>
      <c r="E128" s="13"/>
      <c r="F128" s="9"/>
      <c r="G128" s="9"/>
      <c r="H128" s="19" t="s">
        <v>350</v>
      </c>
      <c r="I128" s="18"/>
      <c r="J128" s="18"/>
      <c r="K128" s="79"/>
      <c r="L128" s="22"/>
      <c r="M128" s="11"/>
      <c r="N128" s="11"/>
    </row>
    <row r="129" spans="1:14" ht="15.75">
      <c r="A129" s="13"/>
      <c r="B129" s="45"/>
      <c r="C129" s="286">
        <v>0</v>
      </c>
      <c r="D129" s="93" t="s">
        <v>349</v>
      </c>
      <c r="E129" s="13"/>
      <c r="F129" s="9"/>
      <c r="G129" s="9"/>
      <c r="H129" s="9"/>
      <c r="I129" s="9"/>
      <c r="J129" s="76"/>
      <c r="K129" s="118">
        <f>C129</f>
        <v>0</v>
      </c>
      <c r="L129" s="22"/>
      <c r="M129" s="11"/>
      <c r="N129" s="11"/>
    </row>
    <row r="130" spans="1:14" ht="15.75">
      <c r="A130" s="233"/>
      <c r="B130" s="234"/>
      <c r="C130" s="278"/>
      <c r="D130" s="342"/>
      <c r="E130" s="233"/>
      <c r="F130" s="235"/>
      <c r="G130" s="235" t="s">
        <v>60</v>
      </c>
      <c r="H130" s="234"/>
      <c r="I130" s="237" t="s">
        <v>351</v>
      </c>
      <c r="J130" s="240"/>
      <c r="K130" s="239">
        <f>C129</f>
        <v>0</v>
      </c>
      <c r="L130" s="22"/>
      <c r="M130" s="11"/>
      <c r="N130" s="11"/>
    </row>
    <row r="131" spans="1:14" ht="12.75">
      <c r="A131" s="11"/>
      <c r="B131" s="11"/>
      <c r="C131" s="335"/>
      <c r="D131" s="11"/>
      <c r="E131" s="11"/>
      <c r="F131" s="47"/>
      <c r="G131" s="47"/>
      <c r="H131" s="11"/>
      <c r="I131" s="48"/>
      <c r="J131" s="49"/>
      <c r="K131" s="73"/>
      <c r="L131" s="22"/>
      <c r="M131" s="11"/>
      <c r="N131" s="11"/>
    </row>
    <row r="132" spans="1:14" ht="12.75">
      <c r="A132" s="11"/>
      <c r="B132" s="11"/>
      <c r="C132" s="335"/>
      <c r="D132" s="11"/>
      <c r="E132" s="11"/>
      <c r="F132" s="47"/>
      <c r="G132" s="47"/>
      <c r="H132" s="11"/>
      <c r="I132" s="48"/>
      <c r="J132" s="49"/>
      <c r="K132" s="73"/>
      <c r="L132" s="22"/>
      <c r="M132" s="11"/>
      <c r="N132" s="11"/>
    </row>
    <row r="133" spans="1:14" ht="15.75">
      <c r="A133" s="241" t="s">
        <v>264</v>
      </c>
      <c r="B133" s="256"/>
      <c r="C133" s="340"/>
      <c r="D133" s="242"/>
      <c r="E133" s="258"/>
      <c r="F133" s="242"/>
      <c r="G133" s="242"/>
      <c r="H133" s="242"/>
      <c r="I133" s="242"/>
      <c r="J133" s="242"/>
      <c r="K133" s="259"/>
      <c r="L133" s="22"/>
      <c r="M133" s="11"/>
      <c r="N133" s="11"/>
    </row>
    <row r="134" spans="1:14" ht="15.75">
      <c r="A134" s="92"/>
      <c r="B134" s="21" t="s">
        <v>265</v>
      </c>
      <c r="C134" s="341"/>
      <c r="D134" s="95"/>
      <c r="E134" s="13"/>
      <c r="F134" s="9"/>
      <c r="G134" s="9"/>
      <c r="H134" s="19" t="s">
        <v>350</v>
      </c>
      <c r="I134" s="18"/>
      <c r="J134" s="18"/>
      <c r="K134" s="79"/>
      <c r="L134" s="22"/>
      <c r="M134" s="11"/>
      <c r="N134" s="11"/>
    </row>
    <row r="135" spans="1:14" ht="15.75">
      <c r="A135" s="13"/>
      <c r="B135" s="45"/>
      <c r="C135" s="286">
        <v>0</v>
      </c>
      <c r="D135" s="93" t="s">
        <v>349</v>
      </c>
      <c r="E135" s="84"/>
      <c r="F135" s="9"/>
      <c r="G135" s="9"/>
      <c r="H135" s="9"/>
      <c r="I135" s="9"/>
      <c r="J135" s="76"/>
      <c r="K135" s="118">
        <f>C135</f>
        <v>0</v>
      </c>
      <c r="L135" s="22"/>
      <c r="M135" s="11"/>
      <c r="N135" s="11"/>
    </row>
    <row r="136" spans="1:14" ht="15.75">
      <c r="A136" s="233"/>
      <c r="B136" s="234"/>
      <c r="C136" s="234"/>
      <c r="D136" s="234"/>
      <c r="E136" s="233"/>
      <c r="F136" s="235"/>
      <c r="G136" s="235" t="s">
        <v>60</v>
      </c>
      <c r="H136" s="234"/>
      <c r="I136" s="237" t="s">
        <v>351</v>
      </c>
      <c r="J136" s="240"/>
      <c r="K136" s="239">
        <f>C135</f>
        <v>0</v>
      </c>
      <c r="L136" s="22"/>
      <c r="M136" s="11"/>
      <c r="N136" s="11"/>
    </row>
    <row r="137" spans="1:14" ht="12.75">
      <c r="A137" s="11"/>
      <c r="B137" s="11"/>
      <c r="C137" s="11"/>
      <c r="D137" s="11"/>
      <c r="E137" s="11"/>
      <c r="F137" s="47"/>
      <c r="G137" s="47"/>
      <c r="H137" s="11"/>
      <c r="I137" s="48"/>
      <c r="J137" s="49"/>
      <c r="K137" s="73"/>
      <c r="L137" s="22"/>
      <c r="M137" s="11"/>
      <c r="N137" s="11"/>
    </row>
    <row r="138" spans="1:14" ht="12.75">
      <c r="A138" s="11"/>
      <c r="B138" s="11"/>
      <c r="C138" s="11"/>
      <c r="D138" s="11"/>
      <c r="E138" s="11"/>
      <c r="F138" s="47"/>
      <c r="G138" s="47"/>
      <c r="H138" s="11"/>
      <c r="I138" s="48"/>
      <c r="J138" s="49"/>
      <c r="K138" s="73"/>
      <c r="L138" s="22"/>
      <c r="M138" s="11"/>
      <c r="N138" s="11"/>
    </row>
    <row r="139" spans="1:14" ht="19.5">
      <c r="A139" s="241" t="s">
        <v>258</v>
      </c>
      <c r="B139" s="256"/>
      <c r="C139" s="257"/>
      <c r="D139" s="242"/>
      <c r="E139" s="258"/>
      <c r="F139" s="242"/>
      <c r="G139" s="242"/>
      <c r="H139" s="242"/>
      <c r="I139" s="242"/>
      <c r="J139" s="242"/>
      <c r="K139" s="259"/>
      <c r="L139" s="22"/>
      <c r="M139" s="11"/>
      <c r="N139" s="11"/>
    </row>
    <row r="140" spans="1:14" ht="15.75">
      <c r="A140" s="92"/>
      <c r="B140" s="21" t="s">
        <v>256</v>
      </c>
      <c r="C140" s="19"/>
      <c r="D140" s="9"/>
      <c r="E140" s="13"/>
      <c r="F140" s="9"/>
      <c r="G140" s="9"/>
      <c r="H140" s="19" t="s">
        <v>350</v>
      </c>
      <c r="I140" s="18"/>
      <c r="J140" s="18"/>
      <c r="K140" s="79"/>
      <c r="L140" s="22"/>
      <c r="M140" s="11"/>
      <c r="N140" s="11"/>
    </row>
    <row r="141" spans="1:14" ht="15.75">
      <c r="A141" s="13"/>
      <c r="B141" s="45"/>
      <c r="C141" s="286">
        <v>0</v>
      </c>
      <c r="D141" s="93" t="s">
        <v>349</v>
      </c>
      <c r="E141" s="13"/>
      <c r="F141" s="9"/>
      <c r="G141" s="9"/>
      <c r="H141" s="9"/>
      <c r="I141" s="9"/>
      <c r="J141" s="76"/>
      <c r="K141" s="118">
        <f>C141</f>
        <v>0</v>
      </c>
      <c r="L141" s="22"/>
      <c r="M141" s="11"/>
      <c r="N141" s="11"/>
    </row>
    <row r="142" spans="1:14" ht="15.75">
      <c r="A142" s="233"/>
      <c r="B142" s="234"/>
      <c r="C142" s="234"/>
      <c r="D142" s="234"/>
      <c r="E142" s="233"/>
      <c r="F142" s="235"/>
      <c r="G142" s="235" t="s">
        <v>60</v>
      </c>
      <c r="H142" s="234"/>
      <c r="I142" s="237" t="s">
        <v>351</v>
      </c>
      <c r="J142" s="240"/>
      <c r="K142" s="239">
        <f>C141</f>
        <v>0</v>
      </c>
      <c r="L142" s="22"/>
      <c r="M142" s="11"/>
      <c r="N142" s="11"/>
    </row>
    <row r="143" spans="1:14" ht="12.75">
      <c r="A143" s="11"/>
      <c r="B143" s="11"/>
      <c r="C143" s="11"/>
      <c r="D143" s="11"/>
      <c r="E143" s="11"/>
      <c r="F143" s="47"/>
      <c r="G143" s="47"/>
      <c r="H143" s="11"/>
      <c r="I143" s="48"/>
      <c r="J143" s="49"/>
      <c r="K143" s="73"/>
      <c r="L143" s="22"/>
      <c r="M143" s="11"/>
      <c r="N143" s="11"/>
    </row>
    <row r="144" spans="1:14" ht="12.75">
      <c r="A144" s="11"/>
      <c r="B144" s="11"/>
      <c r="C144" s="11"/>
      <c r="D144" s="11"/>
      <c r="E144" s="11"/>
      <c r="F144" s="47"/>
      <c r="G144" s="47"/>
      <c r="H144" s="11"/>
      <c r="I144" s="48"/>
      <c r="J144" s="49"/>
      <c r="K144" s="73"/>
      <c r="L144" s="22"/>
      <c r="M144" s="11"/>
      <c r="N144" s="11"/>
    </row>
    <row r="145" spans="1:14" ht="19.5">
      <c r="A145" s="241" t="s">
        <v>259</v>
      </c>
      <c r="B145" s="256"/>
      <c r="C145" s="257"/>
      <c r="D145" s="242"/>
      <c r="E145" s="258"/>
      <c r="F145" s="242"/>
      <c r="G145" s="242"/>
      <c r="H145" s="242"/>
      <c r="I145" s="242"/>
      <c r="J145" s="242"/>
      <c r="K145" s="259"/>
      <c r="L145" s="22"/>
      <c r="M145" s="11"/>
      <c r="N145" s="11"/>
    </row>
    <row r="146" spans="1:14" ht="15.75">
      <c r="A146" s="92"/>
      <c r="B146" s="21" t="s">
        <v>257</v>
      </c>
      <c r="C146" s="19"/>
      <c r="D146" s="9"/>
      <c r="E146" s="13"/>
      <c r="F146" s="9"/>
      <c r="G146" s="9"/>
      <c r="H146" s="19" t="s">
        <v>350</v>
      </c>
      <c r="I146" s="18"/>
      <c r="J146" s="18"/>
      <c r="K146" s="79"/>
      <c r="L146" s="22"/>
      <c r="M146" s="11"/>
      <c r="N146" s="11"/>
    </row>
    <row r="147" spans="1:14" ht="15.75">
      <c r="A147" s="13"/>
      <c r="B147" s="45"/>
      <c r="C147" s="286">
        <v>0</v>
      </c>
      <c r="D147" s="93" t="s">
        <v>349</v>
      </c>
      <c r="E147" s="13"/>
      <c r="F147" s="9"/>
      <c r="G147" s="9"/>
      <c r="H147" s="9"/>
      <c r="I147" s="9"/>
      <c r="J147" s="76"/>
      <c r="K147" s="118">
        <f>C147</f>
        <v>0</v>
      </c>
      <c r="L147" s="22"/>
      <c r="M147" s="11"/>
      <c r="N147" s="11"/>
    </row>
    <row r="148" spans="1:14" ht="15.75">
      <c r="A148" s="233"/>
      <c r="B148" s="234"/>
      <c r="C148" s="234"/>
      <c r="D148" s="234"/>
      <c r="E148" s="233"/>
      <c r="F148" s="235"/>
      <c r="G148" s="235" t="s">
        <v>60</v>
      </c>
      <c r="H148" s="234"/>
      <c r="I148" s="237" t="s">
        <v>351</v>
      </c>
      <c r="J148" s="240"/>
      <c r="K148" s="239">
        <f>C147</f>
        <v>0</v>
      </c>
      <c r="L148" s="22"/>
      <c r="M148" s="11"/>
      <c r="N148" s="11"/>
    </row>
    <row r="149" spans="1:14" ht="12.75">
      <c r="A149" s="11"/>
      <c r="B149" s="11"/>
      <c r="C149" s="11"/>
      <c r="D149" s="11"/>
      <c r="E149" s="11"/>
      <c r="F149" s="47"/>
      <c r="G149" s="47"/>
      <c r="H149" s="11"/>
      <c r="I149" s="48"/>
      <c r="J149" s="49"/>
      <c r="K149" s="73"/>
      <c r="L149" s="22"/>
      <c r="M149" s="11"/>
      <c r="N149" s="11"/>
    </row>
    <row r="150" spans="1:14" ht="12.75">
      <c r="A150" s="11"/>
      <c r="B150" s="11"/>
      <c r="C150" s="11"/>
      <c r="D150" s="11"/>
      <c r="E150" s="11"/>
      <c r="F150" s="47"/>
      <c r="G150" s="47"/>
      <c r="H150" s="11"/>
      <c r="I150" s="48"/>
      <c r="J150" s="49"/>
      <c r="K150" s="73"/>
      <c r="L150" s="22"/>
      <c r="M150" s="11"/>
      <c r="N150" s="11"/>
    </row>
    <row r="151" spans="1:14" ht="15.75">
      <c r="A151" s="241" t="s">
        <v>96</v>
      </c>
      <c r="B151" s="242"/>
      <c r="C151" s="242"/>
      <c r="D151" s="242"/>
      <c r="E151" s="243" t="s">
        <v>37</v>
      </c>
      <c r="F151" s="248"/>
      <c r="G151" s="248"/>
      <c r="H151" s="249"/>
      <c r="I151" s="310" t="s">
        <v>351</v>
      </c>
      <c r="J151" s="249"/>
      <c r="K151" s="250">
        <f>K89+K116+K124+K130</f>
        <v>34.899192789331536</v>
      </c>
      <c r="L151" s="22"/>
      <c r="M151" s="11"/>
      <c r="N151" s="11"/>
    </row>
    <row r="152" spans="1:14" ht="15.75">
      <c r="A152" s="251"/>
      <c r="B152" s="252"/>
      <c r="C152" s="252"/>
      <c r="D152" s="252"/>
      <c r="E152" s="253"/>
      <c r="F152" s="253"/>
      <c r="G152" s="253"/>
      <c r="H152" s="253"/>
      <c r="I152" s="253"/>
      <c r="J152" s="253"/>
      <c r="K152" s="254"/>
      <c r="L152" s="22"/>
      <c r="M152" s="11"/>
      <c r="N152" s="11"/>
    </row>
    <row r="153" spans="1:14" ht="15.75">
      <c r="A153" s="13"/>
      <c r="B153" s="9"/>
      <c r="C153" s="9"/>
      <c r="D153" s="23" t="s">
        <v>59</v>
      </c>
      <c r="E153" s="94">
        <f>E23*C47*C58*C69*C94*C108*C120</f>
        <v>43382.524931307096</v>
      </c>
      <c r="F153" s="39" t="s">
        <v>346</v>
      </c>
      <c r="G153" s="9"/>
      <c r="H153" s="9"/>
      <c r="I153" s="9"/>
      <c r="J153" s="9"/>
      <c r="K153" s="95"/>
      <c r="L153" s="22"/>
      <c r="M153" s="11"/>
      <c r="N153" s="11"/>
    </row>
    <row r="154" spans="1:14" ht="15.75">
      <c r="A154" s="13"/>
      <c r="B154" s="9"/>
      <c r="C154" s="9"/>
      <c r="D154" s="23" t="s">
        <v>69</v>
      </c>
      <c r="E154" s="96">
        <f>E153/E23</f>
        <v>0.5864452708397729</v>
      </c>
      <c r="F154" s="9" t="s">
        <v>352</v>
      </c>
      <c r="G154" s="9"/>
      <c r="H154" s="76"/>
      <c r="I154" s="9"/>
      <c r="J154" s="9"/>
      <c r="K154" s="95"/>
      <c r="L154" s="22"/>
      <c r="M154" s="11"/>
      <c r="N154" s="11"/>
    </row>
    <row r="155" spans="1:14" ht="12.75">
      <c r="A155" s="13"/>
      <c r="B155" s="9"/>
      <c r="C155" s="9"/>
      <c r="D155" s="9"/>
      <c r="E155" s="9"/>
      <c r="F155" s="77"/>
      <c r="G155" s="9"/>
      <c r="H155" s="76"/>
      <c r="I155" s="9"/>
      <c r="J155" s="9"/>
      <c r="K155" s="95"/>
      <c r="L155" s="22"/>
      <c r="M155" s="11"/>
      <c r="N155" s="11"/>
    </row>
    <row r="156" spans="1:14" ht="12.75">
      <c r="A156" s="13"/>
      <c r="B156" s="9"/>
      <c r="C156" s="9"/>
      <c r="D156" s="9"/>
      <c r="E156" s="9"/>
      <c r="F156" s="77"/>
      <c r="G156" s="9"/>
      <c r="H156" s="9"/>
      <c r="I156" s="9"/>
      <c r="J156" s="9"/>
      <c r="K156" s="95"/>
      <c r="L156" s="22"/>
      <c r="M156" s="11"/>
      <c r="N156" s="11"/>
    </row>
    <row r="157" spans="1:14" ht="15.75">
      <c r="A157" s="202"/>
      <c r="B157" s="196"/>
      <c r="C157" s="196"/>
      <c r="D157" s="196"/>
      <c r="E157" s="261" t="s">
        <v>95</v>
      </c>
      <c r="F157" s="262"/>
      <c r="G157" s="204"/>
      <c r="H157" s="196"/>
      <c r="I157" s="261" t="s">
        <v>351</v>
      </c>
      <c r="J157" s="204"/>
      <c r="K157" s="263">
        <f>K43+K54+K64+K80+K104+K116+K124+K130-K136-K142-K148</f>
        <v>65.58599647462744</v>
      </c>
      <c r="L157" s="22"/>
      <c r="M157" s="11"/>
      <c r="N157" s="11"/>
    </row>
    <row r="158" spans="1:14" ht="15.75">
      <c r="A158" s="264"/>
      <c r="B158" s="265"/>
      <c r="C158" s="266"/>
      <c r="D158" s="196"/>
      <c r="E158" s="261" t="s">
        <v>97</v>
      </c>
      <c r="F158" s="196"/>
      <c r="G158" s="196"/>
      <c r="H158" s="196"/>
      <c r="I158" s="261" t="s">
        <v>351</v>
      </c>
      <c r="J158" s="196"/>
      <c r="K158" s="267">
        <f>K89+K104+K116+K124+K130-K136-K142-K148</f>
        <v>44.23520354040504</v>
      </c>
      <c r="L158" s="22"/>
      <c r="M158" s="11"/>
      <c r="N158" s="11"/>
    </row>
    <row r="159" spans="1:14" ht="12.75">
      <c r="A159" s="202"/>
      <c r="B159" s="196"/>
      <c r="C159" s="196"/>
      <c r="D159" s="196"/>
      <c r="E159" s="196"/>
      <c r="F159" s="268"/>
      <c r="G159" s="196"/>
      <c r="H159" s="196"/>
      <c r="I159" s="196"/>
      <c r="J159" s="196"/>
      <c r="K159" s="203"/>
      <c r="L159" s="22"/>
      <c r="M159" s="11"/>
      <c r="N159" s="11"/>
    </row>
    <row r="160" spans="1:14" ht="12.75">
      <c r="A160" s="233"/>
      <c r="B160" s="234"/>
      <c r="C160" s="234"/>
      <c r="D160" s="234"/>
      <c r="E160" s="269" t="s">
        <v>98</v>
      </c>
      <c r="F160" s="270"/>
      <c r="G160" s="270"/>
      <c r="H160" s="270"/>
      <c r="I160" s="270"/>
      <c r="J160" s="270"/>
      <c r="K160" s="271">
        <f>(83.8-K158)/83.8</f>
        <v>0.4721336093030425</v>
      </c>
      <c r="L160" s="22"/>
      <c r="M160" s="11"/>
      <c r="N160" s="11"/>
    </row>
    <row r="161" ht="12.75">
      <c r="L161" s="3"/>
    </row>
    <row r="162" spans="5:12" ht="12.75">
      <c r="E162" s="2"/>
      <c r="F162" s="2"/>
      <c r="G162" s="4"/>
      <c r="H162" s="2"/>
      <c r="I162" s="2"/>
      <c r="J162" s="2"/>
      <c r="K162" s="8"/>
      <c r="L162" s="3"/>
    </row>
    <row r="163" spans="6:13" ht="12.75">
      <c r="F163" s="2"/>
      <c r="G163" s="2"/>
      <c r="H163" s="74"/>
      <c r="I163" s="2"/>
      <c r="J163" s="2"/>
      <c r="K163" s="75"/>
      <c r="L163" s="36"/>
      <c r="M163" s="3"/>
    </row>
    <row r="164" spans="6:13" ht="12.75">
      <c r="F164" s="2"/>
      <c r="G164" s="2"/>
      <c r="H164" s="74"/>
      <c r="I164" s="2"/>
      <c r="J164" s="2"/>
      <c r="K164" s="75"/>
      <c r="L164" s="36"/>
      <c r="M164" s="3"/>
    </row>
    <row r="165" spans="6:13" ht="15.75">
      <c r="F165" s="37"/>
      <c r="G165" s="2"/>
      <c r="H165" s="2"/>
      <c r="I165" s="2"/>
      <c r="J165" s="2"/>
      <c r="K165" s="2"/>
      <c r="L165" s="2"/>
      <c r="M165" s="3"/>
    </row>
    <row r="166" spans="6:13" ht="12.75">
      <c r="F166" s="2"/>
      <c r="G166" s="74"/>
      <c r="H166" s="2"/>
      <c r="I166" s="2"/>
      <c r="J166" s="2"/>
      <c r="K166" s="2"/>
      <c r="L166" s="2"/>
      <c r="M166" s="2"/>
    </row>
    <row r="167" spans="6:13" ht="12.75">
      <c r="F167" s="74"/>
      <c r="G167" s="2"/>
      <c r="H167" s="25"/>
      <c r="I167" s="2"/>
      <c r="J167" s="2"/>
      <c r="K167" s="2"/>
      <c r="L167" s="2"/>
      <c r="M167" s="2"/>
    </row>
    <row r="168" spans="6:13" ht="12.75">
      <c r="F168" s="74"/>
      <c r="G168" s="2"/>
      <c r="H168" s="25"/>
      <c r="I168" s="2"/>
      <c r="J168" s="2"/>
      <c r="K168" s="2"/>
      <c r="L168" s="2"/>
      <c r="M168" s="2"/>
    </row>
    <row r="169" spans="6:13" ht="12.75">
      <c r="F169" s="2"/>
      <c r="G169" s="36"/>
      <c r="H169" s="2"/>
      <c r="I169" s="2"/>
      <c r="J169" s="2"/>
      <c r="K169" s="2"/>
      <c r="L169" s="2"/>
      <c r="M169" s="2"/>
    </row>
    <row r="170" spans="6:13" ht="12.75">
      <c r="F170" s="2"/>
      <c r="G170" s="2"/>
      <c r="H170" s="2"/>
      <c r="I170" s="2"/>
      <c r="J170" s="2"/>
      <c r="K170" s="2"/>
      <c r="L170" s="2"/>
      <c r="M170" s="2"/>
    </row>
    <row r="171" spans="6:13" ht="12.75">
      <c r="F171" s="2"/>
      <c r="G171" s="2"/>
      <c r="H171" s="2"/>
      <c r="I171" s="2"/>
      <c r="J171" s="2"/>
      <c r="K171" s="2"/>
      <c r="L171" s="2"/>
      <c r="M171" s="2"/>
    </row>
    <row r="172" spans="6:13" ht="12.75">
      <c r="F172" s="2"/>
      <c r="G172" s="2"/>
      <c r="H172" s="2"/>
      <c r="I172" s="2"/>
      <c r="J172" s="2"/>
      <c r="K172" s="2"/>
      <c r="L172" s="2"/>
      <c r="M172" s="2"/>
    </row>
    <row r="173" spans="6:13" ht="12.75">
      <c r="F173" s="2"/>
      <c r="G173" s="2"/>
      <c r="H173" s="2"/>
      <c r="I173" s="2"/>
      <c r="J173" s="2"/>
      <c r="K173" s="2"/>
      <c r="L173" s="2"/>
      <c r="M173" s="2"/>
    </row>
    <row r="174" spans="6:13" ht="12.75">
      <c r="F174" s="2"/>
      <c r="G174" s="2"/>
      <c r="H174" s="2"/>
      <c r="I174" s="2"/>
      <c r="J174" s="2"/>
      <c r="K174" s="2"/>
      <c r="L174" s="2"/>
      <c r="M174" s="2"/>
    </row>
    <row r="175" spans="6:13" ht="12.75">
      <c r="F175" s="2"/>
      <c r="G175" s="2"/>
      <c r="H175" s="2"/>
      <c r="I175" s="2"/>
      <c r="J175" s="2"/>
      <c r="K175" s="2"/>
      <c r="L175" s="2"/>
      <c r="M175" s="2"/>
    </row>
    <row r="176" spans="6:13" ht="12.75">
      <c r="F176" s="2"/>
      <c r="G176" s="2"/>
      <c r="H176" s="2"/>
      <c r="I176" s="2"/>
      <c r="J176" s="2"/>
      <c r="K176" s="2"/>
      <c r="L176" s="2"/>
      <c r="M176" s="2"/>
    </row>
    <row r="177" spans="6:13" ht="12.75">
      <c r="F177" s="2"/>
      <c r="G177" s="2"/>
      <c r="H177" s="2"/>
      <c r="I177" s="2"/>
      <c r="J177" s="2"/>
      <c r="K177" s="2"/>
      <c r="L177" s="2"/>
      <c r="M177" s="2"/>
    </row>
    <row r="178" spans="6:13" ht="12.75">
      <c r="F178" s="2"/>
      <c r="G178" s="2"/>
      <c r="H178" s="2"/>
      <c r="I178" s="2"/>
      <c r="J178" s="2"/>
      <c r="K178" s="2"/>
      <c r="L178" s="2"/>
      <c r="M178" s="2"/>
    </row>
    <row r="179" spans="6:13" ht="12.75">
      <c r="F179" s="2"/>
      <c r="G179" s="2"/>
      <c r="H179" s="2"/>
      <c r="I179" s="2"/>
      <c r="J179" s="2"/>
      <c r="K179" s="2"/>
      <c r="L179" s="2"/>
      <c r="M179" s="2"/>
    </row>
    <row r="180" spans="6:13" ht="12.75">
      <c r="F180" s="2"/>
      <c r="G180" s="2"/>
      <c r="H180" s="2"/>
      <c r="I180" s="2"/>
      <c r="J180" s="2"/>
      <c r="K180" s="2"/>
      <c r="L180" s="2"/>
      <c r="M180" s="2"/>
    </row>
    <row r="181" spans="6:13" ht="12.75">
      <c r="F181" s="2"/>
      <c r="G181" s="2"/>
      <c r="H181" s="2"/>
      <c r="I181" s="2"/>
      <c r="J181" s="2"/>
      <c r="K181" s="2"/>
      <c r="L181" s="2"/>
      <c r="M181" s="2"/>
    </row>
  </sheetData>
  <sheetProtection/>
  <conditionalFormatting sqref="N9:N19">
    <cfRule type="cellIs" priority="1" dxfId="4" operator="notBetween" stopIfTrue="1">
      <formula>-0.05</formula>
      <formula>0.05</formula>
    </cfRule>
  </conditionalFormatting>
  <hyperlinks>
    <hyperlink ref="T36" location="Menu!A6" display="Back to menu"/>
    <hyperlink ref="T43" location="Menu!A6" display="Back to menu"/>
    <hyperlink ref="N49" location="Menu!A6" display="Back to menu"/>
    <hyperlink ref="T49" location="Menu!A6" display="Back to menu"/>
    <hyperlink ref="N60" location="Menu!A6" display="Back to menu"/>
    <hyperlink ref="N109" location="Menu!A6" display="Back to menu"/>
    <hyperlink ref="T109" location="Menu!A6" display="Back to menu"/>
    <hyperlink ref="T5" location="Menu!A6" display="Back to menu"/>
    <hyperlink ref="T35" location="Menu!A6" display="Back to menu"/>
    <hyperlink ref="T42" location="Menu!A6" display="Back to menu"/>
    <hyperlink ref="N48" location="Menu!A6" display="Back to menu"/>
    <hyperlink ref="T48" location="Menu!A6" display="Back to menu"/>
    <hyperlink ref="N59" location="Menu!A6" display="Back to menu"/>
    <hyperlink ref="N108" location="Menu!A6" display="Back to menu"/>
    <hyperlink ref="T108" location="Menu!A6" display="Back to menu"/>
    <hyperlink ref="T4" location="Menu!A6" display="Back to menu"/>
  </hyperlinks>
  <printOptions/>
  <pageMargins left="0.75" right="0.75" top="1" bottom="1" header="0.5" footer="0.5"/>
  <pageSetup fitToHeight="0" fitToWidth="1" horizontalDpi="600" verticalDpi="600" orientation="landscape" paperSize="8"/>
  <headerFooter alignWithMargins="0">
    <oddFooter>&amp;L&amp;8&amp;F&amp;C&amp;8&amp;A&amp;R&amp;8page&amp;P</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Blad5">
    <pageSetUpPr fitToPage="1"/>
  </sheetPr>
  <dimension ref="A2:AD91"/>
  <sheetViews>
    <sheetView zoomScale="80" zoomScaleNormal="80"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B5" sqref="B5"/>
    </sheetView>
  </sheetViews>
  <sheetFormatPr defaultColWidth="9.140625" defaultRowHeight="12.75"/>
  <cols>
    <col min="1" max="1" width="3.140625" style="108" customWidth="1"/>
    <col min="2" max="2" width="4.7109375" style="109" customWidth="1"/>
    <col min="3" max="3" width="48.140625" style="108" customWidth="1"/>
    <col min="4" max="6" width="10.7109375" style="108" customWidth="1"/>
    <col min="7" max="7" width="13.7109375" style="108" customWidth="1"/>
    <col min="8" max="10" width="10.7109375" style="108" customWidth="1"/>
    <col min="11" max="11" width="13.8515625" style="108" customWidth="1"/>
    <col min="12" max="13" width="11.8515625" style="108" customWidth="1"/>
    <col min="14" max="14" width="12.00390625" style="108" customWidth="1"/>
    <col min="15" max="15" width="14.7109375" style="108" customWidth="1"/>
    <col min="16" max="18" width="12.7109375" style="108" customWidth="1"/>
    <col min="19" max="19" width="54.421875" style="108" customWidth="1"/>
    <col min="20" max="20" width="51.8515625" style="108" customWidth="1"/>
    <col min="21" max="21" width="9.28125" style="108" bestFit="1" customWidth="1"/>
    <col min="22" max="23" width="11.140625" style="108" bestFit="1" customWidth="1"/>
    <col min="24" max="24" width="9.7109375" style="108" bestFit="1" customWidth="1"/>
    <col min="25" max="25" width="11.140625" style="108" bestFit="1" customWidth="1"/>
    <col min="26" max="26" width="9.140625" style="108" customWidth="1"/>
    <col min="27" max="27" width="11.140625" style="108" bestFit="1" customWidth="1"/>
    <col min="28" max="28" width="9.140625" style="108" customWidth="1"/>
    <col min="29" max="29" width="11.140625" style="108" bestFit="1" customWidth="1"/>
    <col min="30" max="16384" width="9.140625" style="108" customWidth="1"/>
  </cols>
  <sheetData>
    <row r="1" ht="102" customHeight="1" thickBot="1"/>
    <row r="2" spans="1:20" ht="19.5">
      <c r="A2" s="385"/>
      <c r="B2" s="679" t="s">
        <v>105</v>
      </c>
      <c r="C2" s="680"/>
      <c r="D2" s="397"/>
      <c r="E2" s="397"/>
      <c r="F2" s="397"/>
      <c r="G2" s="397"/>
      <c r="H2" s="397"/>
      <c r="I2" s="397"/>
      <c r="J2" s="397"/>
      <c r="K2" s="398"/>
      <c r="L2" s="397"/>
      <c r="M2" s="399"/>
      <c r="N2" s="400"/>
      <c r="O2" s="401" t="s">
        <v>38</v>
      </c>
      <c r="P2" s="402" t="s">
        <v>417</v>
      </c>
      <c r="Q2" s="675" t="s">
        <v>464</v>
      </c>
      <c r="R2" s="676"/>
      <c r="S2" s="403"/>
      <c r="T2" s="398"/>
    </row>
    <row r="3" spans="1:20" ht="12.75">
      <c r="A3" s="385"/>
      <c r="B3" s="394"/>
      <c r="C3" s="406" t="s">
        <v>106</v>
      </c>
      <c r="D3" s="672" t="s">
        <v>107</v>
      </c>
      <c r="E3" s="672"/>
      <c r="F3" s="672"/>
      <c r="G3" s="672"/>
      <c r="H3" s="672"/>
      <c r="I3" s="672"/>
      <c r="J3" s="672"/>
      <c r="K3" s="678"/>
      <c r="L3" s="672" t="s">
        <v>108</v>
      </c>
      <c r="M3" s="672"/>
      <c r="N3" s="344" t="s">
        <v>42</v>
      </c>
      <c r="O3" s="381" t="s">
        <v>39</v>
      </c>
      <c r="P3" s="359" t="s">
        <v>418</v>
      </c>
      <c r="Q3" s="677" t="s">
        <v>465</v>
      </c>
      <c r="R3" s="678"/>
      <c r="S3" s="389" t="s">
        <v>109</v>
      </c>
      <c r="T3" s="389" t="s">
        <v>110</v>
      </c>
    </row>
    <row r="4" spans="1:20" ht="16.5" thickBot="1">
      <c r="A4" s="385"/>
      <c r="B4" s="395"/>
      <c r="C4" s="407" t="s">
        <v>111</v>
      </c>
      <c r="D4" s="391" t="s">
        <v>396</v>
      </c>
      <c r="E4" s="391" t="s">
        <v>397</v>
      </c>
      <c r="F4" s="391" t="s">
        <v>398</v>
      </c>
      <c r="G4" s="362" t="s">
        <v>399</v>
      </c>
      <c r="H4" s="391" t="s">
        <v>400</v>
      </c>
      <c r="I4" s="391" t="s">
        <v>401</v>
      </c>
      <c r="J4" s="391" t="s">
        <v>402</v>
      </c>
      <c r="K4" s="362" t="s">
        <v>403</v>
      </c>
      <c r="L4" s="358" t="s">
        <v>404</v>
      </c>
      <c r="M4" s="358" t="s">
        <v>405</v>
      </c>
      <c r="N4" s="360" t="s">
        <v>463</v>
      </c>
      <c r="O4" s="381" t="s">
        <v>113</v>
      </c>
      <c r="P4" s="404" t="s">
        <v>112</v>
      </c>
      <c r="Q4" s="450" t="s">
        <v>406</v>
      </c>
      <c r="R4" s="447" t="s">
        <v>407</v>
      </c>
      <c r="S4" s="457"/>
      <c r="T4" s="405"/>
    </row>
    <row r="5" spans="1:22" ht="12.75">
      <c r="A5" s="385"/>
      <c r="B5" s="396"/>
      <c r="C5" s="408"/>
      <c r="D5" s="370"/>
      <c r="E5" s="369"/>
      <c r="F5" s="369"/>
      <c r="G5" s="393"/>
      <c r="H5" s="370"/>
      <c r="I5" s="369"/>
      <c r="J5" s="369"/>
      <c r="K5" s="378"/>
      <c r="L5" s="370"/>
      <c r="M5" s="370"/>
      <c r="N5" s="370"/>
      <c r="O5" s="382"/>
      <c r="P5" s="379"/>
      <c r="Q5" s="371"/>
      <c r="R5" s="383"/>
      <c r="S5" s="387"/>
      <c r="T5" s="377"/>
      <c r="U5" s="110"/>
      <c r="V5" s="110"/>
    </row>
    <row r="6" spans="2:22" ht="12.75">
      <c r="B6" s="673" t="s">
        <v>240</v>
      </c>
      <c r="C6" s="674"/>
      <c r="D6" s="478"/>
      <c r="E6" s="479"/>
      <c r="F6" s="479"/>
      <c r="G6" s="480"/>
      <c r="H6" s="478"/>
      <c r="I6" s="479"/>
      <c r="J6" s="479"/>
      <c r="K6" s="480"/>
      <c r="L6" s="478"/>
      <c r="M6" s="478"/>
      <c r="N6" s="478"/>
      <c r="O6" s="481"/>
      <c r="P6" s="482"/>
      <c r="Q6" s="483"/>
      <c r="R6" s="484"/>
      <c r="S6" s="485"/>
      <c r="T6" s="486"/>
      <c r="U6" s="110"/>
      <c r="V6" s="110"/>
    </row>
    <row r="7" spans="2:22" ht="12.75">
      <c r="B7" s="487"/>
      <c r="C7" s="488" t="s">
        <v>360</v>
      </c>
      <c r="D7" s="478"/>
      <c r="E7" s="479"/>
      <c r="F7" s="479"/>
      <c r="G7" s="631">
        <f>D7*'Standard values'!$G$9+E7*'Standard values'!$G$10+F7*'Standard values'!$G$11</f>
        <v>0</v>
      </c>
      <c r="H7" s="489">
        <v>87.5126111111111</v>
      </c>
      <c r="I7" s="490">
        <v>0.0014444444444444444</v>
      </c>
      <c r="J7" s="490">
        <v>2.777777777777778E-05</v>
      </c>
      <c r="K7" s="631">
        <f>H7*'Standard values'!$G$9+I7*'Standard values'!$G$10+J7*'Standard values'!$G$11</f>
        <v>87.55405555555554</v>
      </c>
      <c r="L7" s="478"/>
      <c r="M7" s="489">
        <v>1.1575</v>
      </c>
      <c r="N7" s="478">
        <v>832</v>
      </c>
      <c r="O7" s="481">
        <v>43.1</v>
      </c>
      <c r="P7" s="482"/>
      <c r="Q7" s="483"/>
      <c r="R7" s="484"/>
      <c r="S7" s="485" t="s">
        <v>127</v>
      </c>
      <c r="T7" s="486"/>
      <c r="U7" s="110"/>
      <c r="V7" s="110"/>
    </row>
    <row r="8" spans="2:22" ht="12.75">
      <c r="B8" s="487"/>
      <c r="C8" s="488" t="s">
        <v>361</v>
      </c>
      <c r="D8" s="478"/>
      <c r="E8" s="479"/>
      <c r="F8" s="479"/>
      <c r="G8" s="631">
        <f>D8*'Standard values'!$G$9+E8*'Standard values'!$G$10+F8*'Standard values'!$G$11</f>
        <v>0</v>
      </c>
      <c r="H8" s="489">
        <v>92.79744444444445</v>
      </c>
      <c r="I8" s="490">
        <v>0.2900277777777778</v>
      </c>
      <c r="J8" s="490">
        <v>0.0003333333333333333</v>
      </c>
      <c r="K8" s="631">
        <f>H8*'Standard values'!$G$9+I8*'Standard values'!$G$10+J8*'Standard values'!$G$11</f>
        <v>99.56675000000001</v>
      </c>
      <c r="L8" s="478"/>
      <c r="M8" s="489">
        <v>1.6594</v>
      </c>
      <c r="N8" s="478">
        <v>793</v>
      </c>
      <c r="O8" s="481">
        <v>19.9</v>
      </c>
      <c r="P8" s="482"/>
      <c r="Q8" s="483"/>
      <c r="R8" s="484"/>
      <c r="S8" s="485" t="s">
        <v>128</v>
      </c>
      <c r="T8" s="486"/>
      <c r="U8" s="110"/>
      <c r="V8" s="110"/>
    </row>
    <row r="9" spans="2:22" ht="12.75">
      <c r="B9" s="487"/>
      <c r="C9" s="488"/>
      <c r="D9" s="478"/>
      <c r="E9" s="479"/>
      <c r="F9" s="479"/>
      <c r="G9" s="631">
        <f>D9*'Standard values'!$G$9+E9*'Standard values'!$G$10+F9*'Standard values'!$G$11</f>
        <v>0</v>
      </c>
      <c r="H9" s="478"/>
      <c r="I9" s="479"/>
      <c r="J9" s="479"/>
      <c r="K9" s="631">
        <f>H9*'Standard values'!$G$9+I9*'Standard values'!$G$10+J9*'Standard values'!$G$11</f>
        <v>0</v>
      </c>
      <c r="L9" s="478"/>
      <c r="M9" s="478"/>
      <c r="N9" s="478"/>
      <c r="O9" s="481"/>
      <c r="P9" s="482"/>
      <c r="Q9" s="483"/>
      <c r="R9" s="484"/>
      <c r="S9" s="485"/>
      <c r="T9" s="486"/>
      <c r="U9" s="110"/>
      <c r="V9" s="110"/>
    </row>
    <row r="10" spans="2:22" ht="12.75">
      <c r="B10" s="487"/>
      <c r="C10" s="488"/>
      <c r="D10" s="478"/>
      <c r="E10" s="479"/>
      <c r="F10" s="479"/>
      <c r="G10" s="631">
        <f>D10*'Standard values'!$G$9+E10*'Standard values'!$G$10+F10*'Standard values'!$G$11</f>
        <v>0</v>
      </c>
      <c r="H10" s="478"/>
      <c r="I10" s="479"/>
      <c r="J10" s="479"/>
      <c r="K10" s="631">
        <f>H10*'Standard values'!$G$9+I10*'Standard values'!$G$10+J10*'Standard values'!$G$11</f>
        <v>0</v>
      </c>
      <c r="L10" s="478"/>
      <c r="M10" s="478"/>
      <c r="N10" s="478"/>
      <c r="O10" s="481"/>
      <c r="P10" s="482"/>
      <c r="Q10" s="483"/>
      <c r="R10" s="484"/>
      <c r="S10" s="485"/>
      <c r="T10" s="486"/>
      <c r="U10" s="110"/>
      <c r="V10" s="110"/>
    </row>
    <row r="11" spans="2:22" ht="12.75">
      <c r="B11" s="487"/>
      <c r="C11" s="488"/>
      <c r="D11" s="478"/>
      <c r="E11" s="479"/>
      <c r="F11" s="479"/>
      <c r="G11" s="631">
        <f>D11*'Standard values'!$G$9+E11*'Standard values'!$G$10+F11*'Standard values'!$G$11</f>
        <v>0</v>
      </c>
      <c r="H11" s="478"/>
      <c r="I11" s="479"/>
      <c r="J11" s="479"/>
      <c r="K11" s="631">
        <f>H11*'Standard values'!$G$9+I11*'Standard values'!$G$10+J11*'Standard values'!$G$11</f>
        <v>0</v>
      </c>
      <c r="L11" s="478"/>
      <c r="M11" s="478"/>
      <c r="N11" s="478"/>
      <c r="O11" s="481"/>
      <c r="P11" s="482"/>
      <c r="Q11" s="483"/>
      <c r="R11" s="484"/>
      <c r="S11" s="485"/>
      <c r="T11" s="486"/>
      <c r="U11" s="110"/>
      <c r="V11" s="110"/>
    </row>
    <row r="12" spans="2:22" ht="12.75">
      <c r="B12" s="487"/>
      <c r="C12" s="488"/>
      <c r="D12" s="478"/>
      <c r="E12" s="479"/>
      <c r="F12" s="479"/>
      <c r="G12" s="631">
        <f>D12*'Standard values'!$G$9+E12*'Standard values'!$G$10+F12*'Standard values'!$G$11</f>
        <v>0</v>
      </c>
      <c r="H12" s="478"/>
      <c r="I12" s="479"/>
      <c r="J12" s="479"/>
      <c r="K12" s="631">
        <f>H12*'Standard values'!$G$9+I12*'Standard values'!$G$10+J12*'Standard values'!$G$11</f>
        <v>0</v>
      </c>
      <c r="L12" s="478"/>
      <c r="M12" s="478"/>
      <c r="N12" s="478"/>
      <c r="O12" s="481"/>
      <c r="P12" s="482"/>
      <c r="Q12" s="483"/>
      <c r="R12" s="484"/>
      <c r="S12" s="485"/>
      <c r="T12" s="486"/>
      <c r="U12" s="110"/>
      <c r="V12" s="110"/>
    </row>
    <row r="13" spans="2:22" ht="12.75">
      <c r="B13" s="487"/>
      <c r="C13" s="488"/>
      <c r="D13" s="478"/>
      <c r="E13" s="479"/>
      <c r="F13" s="479"/>
      <c r="G13" s="631">
        <f>D13*'Standard values'!$G$9+E13*'Standard values'!$G$10+F13*'Standard values'!$G$11</f>
        <v>0</v>
      </c>
      <c r="H13" s="478"/>
      <c r="I13" s="479"/>
      <c r="J13" s="479"/>
      <c r="K13" s="631">
        <f>H13*'Standard values'!$G$9+I13*'Standard values'!$G$10+J13*'Standard values'!$G$11</f>
        <v>0</v>
      </c>
      <c r="L13" s="478"/>
      <c r="M13" s="478"/>
      <c r="N13" s="478"/>
      <c r="O13" s="481"/>
      <c r="P13" s="482"/>
      <c r="Q13" s="483"/>
      <c r="R13" s="484"/>
      <c r="S13" s="485"/>
      <c r="T13" s="486"/>
      <c r="U13" s="110"/>
      <c r="V13" s="110"/>
    </row>
    <row r="14" spans="2:22" ht="12.75">
      <c r="B14" s="487"/>
      <c r="C14" s="488"/>
      <c r="D14" s="478"/>
      <c r="E14" s="479"/>
      <c r="F14" s="479"/>
      <c r="G14" s="631">
        <f>D14*'Standard values'!$G$9+E14*'Standard values'!$G$10+F14*'Standard values'!$G$11</f>
        <v>0</v>
      </c>
      <c r="H14" s="478"/>
      <c r="I14" s="479"/>
      <c r="J14" s="479"/>
      <c r="K14" s="631">
        <f>H14*'Standard values'!$G$9+I14*'Standard values'!$G$10+J14*'Standard values'!$G$11</f>
        <v>0</v>
      </c>
      <c r="L14" s="478"/>
      <c r="M14" s="478"/>
      <c r="N14" s="478"/>
      <c r="O14" s="481"/>
      <c r="P14" s="482"/>
      <c r="Q14" s="483"/>
      <c r="R14" s="484"/>
      <c r="S14" s="485"/>
      <c r="T14" s="486"/>
      <c r="U14" s="110"/>
      <c r="V14" s="110"/>
    </row>
    <row r="15" spans="2:22" ht="12.75">
      <c r="B15" s="487"/>
      <c r="C15" s="488"/>
      <c r="D15" s="478"/>
      <c r="E15" s="479"/>
      <c r="F15" s="479"/>
      <c r="G15" s="631">
        <f>D15*'Standard values'!$G$9+E15*'Standard values'!$G$10+F15*'Standard values'!$G$11</f>
        <v>0</v>
      </c>
      <c r="H15" s="478"/>
      <c r="I15" s="479"/>
      <c r="J15" s="479"/>
      <c r="K15" s="631">
        <f>H15*'Standard values'!$G$9+I15*'Standard values'!$G$10+J15*'Standard values'!$G$11</f>
        <v>0</v>
      </c>
      <c r="L15" s="478"/>
      <c r="M15" s="478"/>
      <c r="N15" s="478"/>
      <c r="O15" s="481"/>
      <c r="P15" s="482"/>
      <c r="Q15" s="483"/>
      <c r="R15" s="484"/>
      <c r="S15" s="485"/>
      <c r="T15" s="486"/>
      <c r="U15" s="110"/>
      <c r="V15" s="110"/>
    </row>
    <row r="16" spans="2:22" ht="12.75">
      <c r="B16" s="487"/>
      <c r="C16" s="488"/>
      <c r="D16" s="478"/>
      <c r="E16" s="479"/>
      <c r="F16" s="479"/>
      <c r="G16" s="631">
        <f>D16*'Standard values'!$G$9+E16*'Standard values'!$G$10+F16*'Standard values'!$G$11</f>
        <v>0</v>
      </c>
      <c r="H16" s="478"/>
      <c r="I16" s="479"/>
      <c r="J16" s="479"/>
      <c r="K16" s="631">
        <f>H16*'Standard values'!$G$9+I16*'Standard values'!$G$10+J16*'Standard values'!$G$11</f>
        <v>0</v>
      </c>
      <c r="L16" s="478"/>
      <c r="M16" s="478"/>
      <c r="N16" s="478"/>
      <c r="O16" s="481"/>
      <c r="P16" s="482"/>
      <c r="Q16" s="483"/>
      <c r="R16" s="484"/>
      <c r="S16" s="485"/>
      <c r="T16" s="486"/>
      <c r="U16" s="110"/>
      <c r="V16" s="110"/>
    </row>
    <row r="17" spans="2:22" ht="12.75">
      <c r="B17" s="487"/>
      <c r="C17" s="488"/>
      <c r="D17" s="478"/>
      <c r="E17" s="479"/>
      <c r="F17" s="479"/>
      <c r="G17" s="631">
        <f>D17*'Standard values'!$G$9+E17*'Standard values'!$G$10+F17*'Standard values'!$G$11</f>
        <v>0</v>
      </c>
      <c r="H17" s="478"/>
      <c r="I17" s="479"/>
      <c r="J17" s="479"/>
      <c r="K17" s="631">
        <f>H17*'Standard values'!$G$9+I17*'Standard values'!$G$10+J17*'Standard values'!$G$11</f>
        <v>0</v>
      </c>
      <c r="L17" s="478"/>
      <c r="M17" s="478"/>
      <c r="N17" s="478"/>
      <c r="O17" s="481"/>
      <c r="P17" s="482"/>
      <c r="Q17" s="483"/>
      <c r="R17" s="484"/>
      <c r="S17" s="485"/>
      <c r="T17" s="486"/>
      <c r="U17" s="110"/>
      <c r="V17" s="110"/>
    </row>
    <row r="18" spans="2:22" ht="12.75">
      <c r="B18" s="487"/>
      <c r="C18" s="488"/>
      <c r="D18" s="478"/>
      <c r="E18" s="479"/>
      <c r="F18" s="479"/>
      <c r="G18" s="631">
        <f>D18*'Standard values'!$G$9+E18*'Standard values'!$G$10+F18*'Standard values'!$G$11</f>
        <v>0</v>
      </c>
      <c r="H18" s="478"/>
      <c r="I18" s="479"/>
      <c r="J18" s="479"/>
      <c r="K18" s="631">
        <f>H18*'Standard values'!$G$9+I18*'Standard values'!$G$10+J18*'Standard values'!$G$11</f>
        <v>0</v>
      </c>
      <c r="L18" s="478"/>
      <c r="M18" s="478"/>
      <c r="N18" s="478"/>
      <c r="O18" s="481"/>
      <c r="P18" s="482"/>
      <c r="Q18" s="483"/>
      <c r="R18" s="484"/>
      <c r="S18" s="485"/>
      <c r="T18" s="486"/>
      <c r="U18" s="110"/>
      <c r="V18" s="110"/>
    </row>
    <row r="19" spans="2:22" ht="12.75">
      <c r="B19" s="487"/>
      <c r="C19" s="488"/>
      <c r="D19" s="478"/>
      <c r="E19" s="479"/>
      <c r="F19" s="479"/>
      <c r="G19" s="631">
        <f>D19*'Standard values'!$G$9+E19*'Standard values'!$G$10+F19*'Standard values'!$G$11</f>
        <v>0</v>
      </c>
      <c r="H19" s="478"/>
      <c r="I19" s="479"/>
      <c r="J19" s="479"/>
      <c r="K19" s="631">
        <f>H19*'Standard values'!$G$9+I19*'Standard values'!$G$10+J19*'Standard values'!$G$11</f>
        <v>0</v>
      </c>
      <c r="L19" s="478"/>
      <c r="M19" s="478"/>
      <c r="N19" s="478"/>
      <c r="O19" s="481"/>
      <c r="P19" s="482"/>
      <c r="Q19" s="483"/>
      <c r="R19" s="484"/>
      <c r="S19" s="485"/>
      <c r="T19" s="486"/>
      <c r="U19" s="110"/>
      <c r="V19" s="110"/>
    </row>
    <row r="20" spans="2:22" ht="12.75">
      <c r="B20" s="487"/>
      <c r="C20" s="488"/>
      <c r="D20" s="478"/>
      <c r="E20" s="479"/>
      <c r="F20" s="479"/>
      <c r="G20" s="631">
        <f>D20*'Standard values'!$G$9+E20*'Standard values'!$G$10+F20*'Standard values'!$G$11</f>
        <v>0</v>
      </c>
      <c r="H20" s="478"/>
      <c r="I20" s="479"/>
      <c r="J20" s="479"/>
      <c r="K20" s="631">
        <f>H20*'Standard values'!$G$9+I20*'Standard values'!$G$10+J20*'Standard values'!$G$11</f>
        <v>0</v>
      </c>
      <c r="L20" s="478"/>
      <c r="M20" s="478"/>
      <c r="N20" s="478"/>
      <c r="O20" s="481"/>
      <c r="P20" s="482"/>
      <c r="Q20" s="483"/>
      <c r="R20" s="484"/>
      <c r="S20" s="485"/>
      <c r="T20" s="486"/>
      <c r="U20" s="110"/>
      <c r="V20" s="110"/>
    </row>
    <row r="21" spans="2:22" ht="12.75">
      <c r="B21" s="487"/>
      <c r="C21" s="488"/>
      <c r="D21" s="478"/>
      <c r="E21" s="479"/>
      <c r="F21" s="479"/>
      <c r="G21" s="631">
        <f>D21*'Standard values'!$G$9+E21*'Standard values'!$G$10+F21*'Standard values'!$G$11</f>
        <v>0</v>
      </c>
      <c r="H21" s="478"/>
      <c r="I21" s="479"/>
      <c r="J21" s="479"/>
      <c r="K21" s="631">
        <f>H21*'Standard values'!$G$9+I21*'Standard values'!$G$10+J21*'Standard values'!$G$11</f>
        <v>0</v>
      </c>
      <c r="L21" s="478"/>
      <c r="M21" s="478"/>
      <c r="N21" s="478"/>
      <c r="O21" s="481"/>
      <c r="P21" s="482"/>
      <c r="Q21" s="483"/>
      <c r="R21" s="484"/>
      <c r="S21" s="485"/>
      <c r="T21" s="486"/>
      <c r="U21" s="110"/>
      <c r="V21" s="110"/>
    </row>
    <row r="22" spans="2:22" ht="12.75">
      <c r="B22" s="487"/>
      <c r="C22" s="488"/>
      <c r="D22" s="478"/>
      <c r="E22" s="479"/>
      <c r="F22" s="479"/>
      <c r="G22" s="631">
        <f>D22*'Standard values'!$G$9+E22*'Standard values'!$G$10+F22*'Standard values'!$G$11</f>
        <v>0</v>
      </c>
      <c r="H22" s="478"/>
      <c r="I22" s="479"/>
      <c r="J22" s="479"/>
      <c r="K22" s="631">
        <f>H22*'Standard values'!$G$9+I22*'Standard values'!$G$10+J22*'Standard values'!$G$11</f>
        <v>0</v>
      </c>
      <c r="L22" s="478"/>
      <c r="M22" s="478"/>
      <c r="N22" s="478"/>
      <c r="O22" s="481"/>
      <c r="P22" s="482"/>
      <c r="Q22" s="483"/>
      <c r="R22" s="484"/>
      <c r="S22" s="485"/>
      <c r="T22" s="486"/>
      <c r="U22" s="110"/>
      <c r="V22" s="110"/>
    </row>
    <row r="23" spans="2:22" ht="12.75">
      <c r="B23" s="487"/>
      <c r="C23" s="488"/>
      <c r="D23" s="478"/>
      <c r="E23" s="479"/>
      <c r="F23" s="479"/>
      <c r="G23" s="631">
        <f>D23*'Standard values'!$G$9+E23*'Standard values'!$G$10+F23*'Standard values'!$G$11</f>
        <v>0</v>
      </c>
      <c r="H23" s="478"/>
      <c r="I23" s="479"/>
      <c r="J23" s="479"/>
      <c r="K23" s="631">
        <f>H23*'Standard values'!$G$9+I23*'Standard values'!$G$10+J23*'Standard values'!$G$11</f>
        <v>0</v>
      </c>
      <c r="L23" s="478"/>
      <c r="M23" s="478"/>
      <c r="N23" s="478"/>
      <c r="O23" s="481"/>
      <c r="P23" s="482"/>
      <c r="Q23" s="483"/>
      <c r="R23" s="484"/>
      <c r="S23" s="485"/>
      <c r="T23" s="486"/>
      <c r="U23" s="110"/>
      <c r="V23" s="110"/>
    </row>
    <row r="24" spans="2:22" ht="12.75">
      <c r="B24" s="487"/>
      <c r="C24" s="488"/>
      <c r="D24" s="478"/>
      <c r="E24" s="479"/>
      <c r="F24" s="479"/>
      <c r="G24" s="631">
        <f>D24*'Standard values'!$G$9+E24*'Standard values'!$G$10+F24*'Standard values'!$G$11</f>
        <v>0</v>
      </c>
      <c r="H24" s="478"/>
      <c r="I24" s="479"/>
      <c r="J24" s="479"/>
      <c r="K24" s="631">
        <f>H24*'Standard values'!$G$9+I24*'Standard values'!$G$10+J24*'Standard values'!$G$11</f>
        <v>0</v>
      </c>
      <c r="L24" s="478"/>
      <c r="M24" s="478"/>
      <c r="N24" s="478"/>
      <c r="O24" s="481"/>
      <c r="P24" s="482"/>
      <c r="Q24" s="483"/>
      <c r="R24" s="484"/>
      <c r="S24" s="485"/>
      <c r="T24" s="486"/>
      <c r="U24" s="110"/>
      <c r="V24" s="110"/>
    </row>
    <row r="25" spans="2:22" ht="12.75">
      <c r="B25" s="487"/>
      <c r="C25" s="488"/>
      <c r="D25" s="478"/>
      <c r="E25" s="479"/>
      <c r="F25" s="479"/>
      <c r="G25" s="631">
        <f>D25*'Standard values'!$G$9+E25*'Standard values'!$G$10+F25*'Standard values'!$G$11</f>
        <v>0</v>
      </c>
      <c r="H25" s="478"/>
      <c r="I25" s="479"/>
      <c r="J25" s="479"/>
      <c r="K25" s="631">
        <f>H25*'Standard values'!$G$9+I25*'Standard values'!$G$10+J25*'Standard values'!$G$11</f>
        <v>0</v>
      </c>
      <c r="L25" s="478"/>
      <c r="M25" s="478"/>
      <c r="N25" s="478"/>
      <c r="O25" s="481"/>
      <c r="P25" s="482"/>
      <c r="Q25" s="483"/>
      <c r="R25" s="484"/>
      <c r="S25" s="485"/>
      <c r="T25" s="486"/>
      <c r="U25" s="110"/>
      <c r="V25" s="110"/>
    </row>
    <row r="26" spans="2:22" ht="12.75">
      <c r="B26" s="487"/>
      <c r="C26" s="488"/>
      <c r="D26" s="478"/>
      <c r="E26" s="479"/>
      <c r="F26" s="479"/>
      <c r="G26" s="631">
        <f>D26*'Standard values'!$G$9+E26*'Standard values'!$G$10+F26*'Standard values'!$G$11</f>
        <v>0</v>
      </c>
      <c r="H26" s="478"/>
      <c r="I26" s="479"/>
      <c r="J26" s="479"/>
      <c r="K26" s="631">
        <f>H26*'Standard values'!$G$9+I26*'Standard values'!$G$10+J26*'Standard values'!$G$11</f>
        <v>0</v>
      </c>
      <c r="L26" s="478"/>
      <c r="M26" s="478"/>
      <c r="N26" s="478"/>
      <c r="O26" s="481"/>
      <c r="P26" s="482"/>
      <c r="Q26" s="483"/>
      <c r="R26" s="484"/>
      <c r="S26" s="485"/>
      <c r="T26" s="486"/>
      <c r="U26" s="110"/>
      <c r="V26" s="110"/>
    </row>
    <row r="27" spans="2:22" ht="12.75">
      <c r="B27" s="487"/>
      <c r="C27" s="488"/>
      <c r="D27" s="478"/>
      <c r="E27" s="479"/>
      <c r="F27" s="479"/>
      <c r="G27" s="631">
        <f>D27*'Standard values'!$G$9+E27*'Standard values'!$G$10+F27*'Standard values'!$G$11</f>
        <v>0</v>
      </c>
      <c r="H27" s="478"/>
      <c r="I27" s="479"/>
      <c r="J27" s="479"/>
      <c r="K27" s="631">
        <f>H27*'Standard values'!$G$9+I27*'Standard values'!$G$10+J27*'Standard values'!$G$11</f>
        <v>0</v>
      </c>
      <c r="L27" s="478"/>
      <c r="M27" s="478"/>
      <c r="N27" s="478"/>
      <c r="O27" s="481"/>
      <c r="P27" s="482"/>
      <c r="Q27" s="483"/>
      <c r="R27" s="484"/>
      <c r="S27" s="485"/>
      <c r="T27" s="486"/>
      <c r="U27" s="110"/>
      <c r="V27" s="110"/>
    </row>
    <row r="28" spans="2:22" ht="13.5" thickBot="1">
      <c r="B28" s="372"/>
      <c r="C28" s="376"/>
      <c r="D28" s="375"/>
      <c r="E28" s="373"/>
      <c r="F28" s="373"/>
      <c r="G28" s="376"/>
      <c r="H28" s="375"/>
      <c r="I28" s="373"/>
      <c r="J28" s="373"/>
      <c r="K28" s="376"/>
      <c r="L28" s="375"/>
      <c r="M28" s="373"/>
      <c r="N28" s="373"/>
      <c r="O28" s="376"/>
      <c r="P28" s="380"/>
      <c r="Q28" s="374"/>
      <c r="R28" s="384"/>
      <c r="S28" s="388"/>
      <c r="T28" s="386"/>
      <c r="U28" s="110"/>
      <c r="V28" s="110"/>
    </row>
    <row r="29" spans="18:19" ht="12.75">
      <c r="R29" s="345"/>
      <c r="S29" s="368"/>
    </row>
    <row r="35" ht="12.75" hidden="1"/>
    <row r="36" spans="1:11" ht="12.75" hidden="1">
      <c r="A36" s="108" t="s">
        <v>154</v>
      </c>
      <c r="C36" s="109" t="s">
        <v>155</v>
      </c>
      <c r="D36" s="109"/>
      <c r="E36" s="109"/>
      <c r="F36" s="109"/>
      <c r="G36" s="109"/>
      <c r="H36" s="109"/>
      <c r="I36" s="109"/>
      <c r="J36" s="109"/>
      <c r="K36" s="109"/>
    </row>
    <row r="37" spans="3:13" ht="12.75" hidden="1">
      <c r="C37" s="108" t="s">
        <v>156</v>
      </c>
      <c r="L37" s="108">
        <v>3600</v>
      </c>
      <c r="M37" s="108" t="s">
        <v>157</v>
      </c>
    </row>
    <row r="38" ht="12.75" hidden="1"/>
    <row r="39" spans="3:30" ht="12.75" hidden="1">
      <c r="C39" s="108" t="s">
        <v>158</v>
      </c>
      <c r="L39" s="108">
        <v>51.7</v>
      </c>
      <c r="M39" s="108" t="s">
        <v>159</v>
      </c>
      <c r="N39" s="112" t="e">
        <f>L39*#REF!</f>
        <v>#REF!</v>
      </c>
      <c r="O39" s="108" t="s">
        <v>160</v>
      </c>
      <c r="P39" s="108" t="e">
        <f>N39/$L$37*1000</f>
        <v>#REF!</v>
      </c>
      <c r="S39" s="109" t="s">
        <v>161</v>
      </c>
      <c r="X39" s="108" t="e">
        <f aca="true" t="shared" si="0" ref="X39:X44">P39/$L$46</f>
        <v>#REF!</v>
      </c>
      <c r="Y39" s="109" t="s">
        <v>162</v>
      </c>
      <c r="AA39" s="108" t="e">
        <f aca="true" t="shared" si="1" ref="AA39:AA44">X39/26.8</f>
        <v>#REF!</v>
      </c>
      <c r="AB39" s="108" t="s">
        <v>163</v>
      </c>
      <c r="AC39" s="109" t="e">
        <f aca="true" t="shared" si="2" ref="AC39:AC44">AA39*0.6</f>
        <v>#REF!</v>
      </c>
      <c r="AD39" s="108" t="s">
        <v>164</v>
      </c>
    </row>
    <row r="40" spans="3:29" ht="12.75" hidden="1">
      <c r="C40" s="108" t="s">
        <v>165</v>
      </c>
      <c r="L40" s="108">
        <v>25.8</v>
      </c>
      <c r="M40" s="108" t="s">
        <v>166</v>
      </c>
      <c r="N40" s="112" t="e">
        <f>L40*#REF!</f>
        <v>#REF!</v>
      </c>
      <c r="P40" s="108" t="e">
        <f>N40/$L$37*1000</f>
        <v>#REF!</v>
      </c>
      <c r="S40" s="109" t="s">
        <v>161</v>
      </c>
      <c r="X40" s="108" t="e">
        <f t="shared" si="0"/>
        <v>#REF!</v>
      </c>
      <c r="Y40" s="109" t="s">
        <v>162</v>
      </c>
      <c r="AA40" s="108" t="e">
        <f t="shared" si="1"/>
        <v>#REF!</v>
      </c>
      <c r="AC40" s="109" t="e">
        <f t="shared" si="2"/>
        <v>#REF!</v>
      </c>
    </row>
    <row r="41" spans="3:29" ht="12.75" hidden="1">
      <c r="C41" s="108" t="s">
        <v>167</v>
      </c>
      <c r="L41" s="108">
        <v>34.5</v>
      </c>
      <c r="M41" s="108" t="s">
        <v>168</v>
      </c>
      <c r="N41" s="112" t="e">
        <f>L41*#REF!</f>
        <v>#REF!</v>
      </c>
      <c r="P41" s="108" t="e">
        <f>N41/$L$37*1000</f>
        <v>#REF!</v>
      </c>
      <c r="S41" s="109" t="s">
        <v>161</v>
      </c>
      <c r="X41" s="108" t="e">
        <f t="shared" si="0"/>
        <v>#REF!</v>
      </c>
      <c r="Y41" s="109" t="s">
        <v>162</v>
      </c>
      <c r="AA41" s="108" t="e">
        <f t="shared" si="1"/>
        <v>#REF!</v>
      </c>
      <c r="AC41" s="109" t="e">
        <f t="shared" si="2"/>
        <v>#REF!</v>
      </c>
    </row>
    <row r="42" spans="3:30" ht="12.75" hidden="1">
      <c r="C42" s="108" t="s">
        <v>169</v>
      </c>
      <c r="L42" s="108">
        <v>2.4</v>
      </c>
      <c r="M42" s="108" t="s">
        <v>157</v>
      </c>
      <c r="N42" s="112" t="e">
        <f>L42*#REF!</f>
        <v>#REF!</v>
      </c>
      <c r="P42" s="108" t="e">
        <f>N42/$L$37*1000</f>
        <v>#REF!</v>
      </c>
      <c r="S42" s="109" t="s">
        <v>161</v>
      </c>
      <c r="X42" s="108" t="e">
        <f t="shared" si="0"/>
        <v>#REF!</v>
      </c>
      <c r="Y42" s="109" t="s">
        <v>162</v>
      </c>
      <c r="AA42" s="108" t="e">
        <f t="shared" si="1"/>
        <v>#REF!</v>
      </c>
      <c r="AC42" s="109" t="e">
        <f t="shared" si="2"/>
        <v>#REF!</v>
      </c>
      <c r="AD42" s="113"/>
    </row>
    <row r="43" spans="3:29" ht="12.75" hidden="1">
      <c r="C43" s="108" t="s">
        <v>170</v>
      </c>
      <c r="L43" s="108">
        <v>0.014</v>
      </c>
      <c r="M43" s="108" t="s">
        <v>171</v>
      </c>
      <c r="N43" s="108">
        <f>L43*296</f>
        <v>4.144</v>
      </c>
      <c r="O43" s="108" t="s">
        <v>172</v>
      </c>
      <c r="P43" s="108" t="e">
        <f>N43*1000*#REF!/1000</f>
        <v>#REF!</v>
      </c>
      <c r="S43" s="109" t="s">
        <v>161</v>
      </c>
      <c r="X43" s="108" t="e">
        <f t="shared" si="0"/>
        <v>#REF!</v>
      </c>
      <c r="AA43" s="108" t="e">
        <f t="shared" si="1"/>
        <v>#REF!</v>
      </c>
      <c r="AC43" s="109" t="e">
        <f t="shared" si="2"/>
        <v>#REF!</v>
      </c>
    </row>
    <row r="44" spans="3:29" ht="12.75" hidden="1">
      <c r="C44" s="108" t="s">
        <v>173</v>
      </c>
      <c r="L44" s="108">
        <v>50</v>
      </c>
      <c r="M44" s="108" t="s">
        <v>34</v>
      </c>
      <c r="N44" s="108" t="s">
        <v>174</v>
      </c>
      <c r="P44" s="108" t="e">
        <f>L44*#REF!*#REF!/1000</f>
        <v>#REF!</v>
      </c>
      <c r="S44" s="109" t="s">
        <v>161</v>
      </c>
      <c r="X44" s="108" t="e">
        <f t="shared" si="0"/>
        <v>#REF!</v>
      </c>
      <c r="Y44" s="109" t="s">
        <v>162</v>
      </c>
      <c r="AA44" s="108" t="e">
        <f t="shared" si="1"/>
        <v>#REF!</v>
      </c>
      <c r="AC44" s="109" t="e">
        <f t="shared" si="2"/>
        <v>#REF!</v>
      </c>
    </row>
    <row r="45" spans="12:29" ht="12.75" hidden="1">
      <c r="L45" s="114" t="e">
        <f>1/L46*#REF!</f>
        <v>#REF!</v>
      </c>
      <c r="M45" s="114" t="s">
        <v>175</v>
      </c>
      <c r="AC45" s="109"/>
    </row>
    <row r="46" spans="3:29" ht="12.75" hidden="1">
      <c r="C46" s="108" t="s">
        <v>176</v>
      </c>
      <c r="L46" s="108">
        <f>2.53*3.785/25.4</f>
        <v>0.37700984251968506</v>
      </c>
      <c r="M46" s="108" t="s">
        <v>177</v>
      </c>
      <c r="AC46" s="109"/>
    </row>
    <row r="47" spans="3:29" ht="12.75" hidden="1">
      <c r="C47" s="108" t="s">
        <v>178</v>
      </c>
      <c r="L47" s="108">
        <v>1.2</v>
      </c>
      <c r="M47" s="108" t="s">
        <v>179</v>
      </c>
      <c r="N47" s="108">
        <f>L47/3.785</f>
        <v>0.31704095112285335</v>
      </c>
      <c r="O47" s="108" t="s">
        <v>180</v>
      </c>
      <c r="P47" s="108">
        <f>N47/0.794</f>
        <v>0.3992959082151805</v>
      </c>
      <c r="S47" s="108" t="s">
        <v>40</v>
      </c>
      <c r="T47" s="109" t="e">
        <f>1000*P47*3.6*#REF!/1000</f>
        <v>#REF!</v>
      </c>
      <c r="U47" s="108" t="s">
        <v>161</v>
      </c>
      <c r="X47" s="108" t="e">
        <f>T47</f>
        <v>#REF!</v>
      </c>
      <c r="Y47" s="109" t="s">
        <v>162</v>
      </c>
      <c r="AA47" s="108" t="e">
        <f>X47/26.8</f>
        <v>#REF!</v>
      </c>
      <c r="AC47" s="109" t="e">
        <f>AA47*0.6</f>
        <v>#REF!</v>
      </c>
    </row>
    <row r="48" spans="3:29" ht="12.75" hidden="1">
      <c r="C48" s="108" t="s">
        <v>181</v>
      </c>
      <c r="L48" s="108">
        <v>37000</v>
      </c>
      <c r="M48" s="108" t="s">
        <v>182</v>
      </c>
      <c r="N48" s="108">
        <v>0.266</v>
      </c>
      <c r="O48" s="108" t="s">
        <v>183</v>
      </c>
      <c r="P48" s="108">
        <f>L48/947/3.785</f>
        <v>10.322523047822575</v>
      </c>
      <c r="S48" s="108" t="s">
        <v>184</v>
      </c>
      <c r="T48" s="108">
        <f>P48/0.794*1000</f>
        <v>13000.658750406265</v>
      </c>
      <c r="U48" s="108" t="s">
        <v>185</v>
      </c>
      <c r="V48" s="109" t="e">
        <f>T48*#REF!/1000</f>
        <v>#REF!</v>
      </c>
      <c r="W48" s="108" t="s">
        <v>161</v>
      </c>
      <c r="X48" s="108" t="e">
        <f>V48</f>
        <v>#REF!</v>
      </c>
      <c r="Y48" s="109" t="s">
        <v>162</v>
      </c>
      <c r="AA48" s="108" t="e">
        <f>X48/26.8</f>
        <v>#REF!</v>
      </c>
      <c r="AC48" s="109" t="e">
        <f>AA48*0.6</f>
        <v>#REF!</v>
      </c>
    </row>
    <row r="49" ht="12.75" hidden="1"/>
    <row r="50" spans="3:19" ht="12.75" hidden="1">
      <c r="C50" s="108" t="s">
        <v>186</v>
      </c>
      <c r="L50" s="108">
        <v>1.1</v>
      </c>
      <c r="M50" s="108" t="s">
        <v>187</v>
      </c>
      <c r="N50" s="108">
        <f>1000*L50/0.794</f>
        <v>1385.3904282115868</v>
      </c>
      <c r="O50" s="108" t="s">
        <v>188</v>
      </c>
      <c r="P50" s="108" t="e">
        <f>N50*#REF!/1000</f>
        <v>#REF!</v>
      </c>
      <c r="S50" s="108" t="s">
        <v>189</v>
      </c>
    </row>
    <row r="51" spans="14:15" ht="12.75" hidden="1">
      <c r="N51" s="108" t="e">
        <f>N50/1000*#REF!</f>
        <v>#REF!</v>
      </c>
      <c r="O51" s="108" t="s">
        <v>175</v>
      </c>
    </row>
    <row r="52" spans="3:29" ht="12.75" hidden="1">
      <c r="C52" s="108" t="s">
        <v>190</v>
      </c>
      <c r="L52" s="108">
        <v>150</v>
      </c>
      <c r="M52" s="108" t="s">
        <v>34</v>
      </c>
      <c r="N52" s="108" t="s">
        <v>191</v>
      </c>
      <c r="U52" s="113">
        <f>26.8/(26.8+18)</f>
        <v>0.5982142857142858</v>
      </c>
      <c r="V52" s="108" t="s">
        <v>192</v>
      </c>
      <c r="X52" s="108" t="e">
        <f>L52*#REF!*#REF!/1000</f>
        <v>#REF!</v>
      </c>
      <c r="Y52" s="109" t="s">
        <v>162</v>
      </c>
      <c r="AA52" s="109" t="e">
        <f>X52/26.8</f>
        <v>#REF!</v>
      </c>
      <c r="AC52" s="109" t="e">
        <f>AA52</f>
        <v>#REF!</v>
      </c>
    </row>
    <row r="53" ht="12.75" hidden="1"/>
    <row r="54" spans="3:29" ht="12.75" hidden="1">
      <c r="C54" s="108" t="s">
        <v>193</v>
      </c>
      <c r="L54" s="108">
        <v>0.00084</v>
      </c>
      <c r="M54" s="108" t="s">
        <v>194</v>
      </c>
      <c r="AA54" s="109" t="e">
        <f>L54*#REF!</f>
        <v>#REF!</v>
      </c>
      <c r="AC54" s="109" t="e">
        <f>AA54</f>
        <v>#REF!</v>
      </c>
    </row>
    <row r="55" spans="3:29" ht="12.75" hidden="1">
      <c r="C55" s="108" t="s">
        <v>195</v>
      </c>
      <c r="L55" s="108">
        <v>0.0034</v>
      </c>
      <c r="M55" s="108" t="s">
        <v>194</v>
      </c>
      <c r="AA55" s="109" t="e">
        <f>L55*#REF!</f>
        <v>#REF!</v>
      </c>
      <c r="AC55" s="109" t="e">
        <f>AA55</f>
        <v>#REF!</v>
      </c>
    </row>
    <row r="56" ht="12.75" hidden="1"/>
    <row r="57" spans="26:30" ht="12.75" hidden="1">
      <c r="Z57" s="109" t="s">
        <v>196</v>
      </c>
      <c r="AC57" s="109" t="e">
        <f>SUM(AC39:AC56)</f>
        <v>#REF!</v>
      </c>
      <c r="AD57" s="108" t="s">
        <v>164</v>
      </c>
    </row>
    <row r="58" spans="1:29" ht="12.75" hidden="1">
      <c r="A58" s="108" t="s">
        <v>197</v>
      </c>
      <c r="C58" s="108" t="s">
        <v>156</v>
      </c>
      <c r="L58" s="108">
        <v>5200</v>
      </c>
      <c r="M58" s="108" t="s">
        <v>157</v>
      </c>
      <c r="AC58" s="115" t="e">
        <f>1-AC57/83.3</f>
        <v>#REF!</v>
      </c>
    </row>
    <row r="59" ht="12.75" hidden="1">
      <c r="W59" s="109"/>
    </row>
    <row r="60" spans="3:25" ht="12.75" hidden="1">
      <c r="C60" s="108" t="s">
        <v>198</v>
      </c>
      <c r="L60" s="108">
        <v>3716</v>
      </c>
      <c r="M60" s="108" t="s">
        <v>199</v>
      </c>
      <c r="N60" s="108" t="e">
        <f>L60*#REF!/1000/L58*1000</f>
        <v>#REF!</v>
      </c>
      <c r="O60" s="108" t="s">
        <v>200</v>
      </c>
      <c r="P60" s="108" t="e">
        <f>N60*L73</f>
        <v>#REF!</v>
      </c>
      <c r="S60" s="108" t="s">
        <v>201</v>
      </c>
      <c r="W60" s="109" t="e">
        <f>P60/#REF!</f>
        <v>#REF!</v>
      </c>
      <c r="X60" s="108" t="s">
        <v>202</v>
      </c>
      <c r="Y60" s="108" t="e">
        <f>0.6*W60</f>
        <v>#REF!</v>
      </c>
    </row>
    <row r="61" spans="3:25" ht="12.75" hidden="1">
      <c r="C61" s="108" t="s">
        <v>203</v>
      </c>
      <c r="L61" s="108">
        <v>109.3</v>
      </c>
      <c r="M61" s="108" t="s">
        <v>159</v>
      </c>
      <c r="N61" s="108" t="e">
        <f>L61*#REF!</f>
        <v>#REF!</v>
      </c>
      <c r="P61" s="108" t="e">
        <f>N61/L58*1000</f>
        <v>#REF!</v>
      </c>
      <c r="S61" s="108" t="s">
        <v>201</v>
      </c>
      <c r="W61" s="109" t="e">
        <f>P61/#REF!</f>
        <v>#REF!</v>
      </c>
      <c r="Y61" s="108" t="e">
        <f>0.6*W61</f>
        <v>#REF!</v>
      </c>
    </row>
    <row r="62" spans="3:25" ht="12.75" hidden="1">
      <c r="C62" s="108" t="s">
        <v>204</v>
      </c>
      <c r="L62" s="108">
        <v>16.4</v>
      </c>
      <c r="M62" s="108" t="s">
        <v>205</v>
      </c>
      <c r="N62" s="108" t="e">
        <f>L62*#REF!</f>
        <v>#REF!</v>
      </c>
      <c r="P62" s="108" t="e">
        <f>N62*$L$73</f>
        <v>#REF!</v>
      </c>
      <c r="W62" s="109" t="e">
        <f>P62/#REF!</f>
        <v>#REF!</v>
      </c>
      <c r="Y62" s="108" t="e">
        <f>0.6*W62</f>
        <v>#REF!</v>
      </c>
    </row>
    <row r="63" spans="3:25" ht="12.75" hidden="1">
      <c r="C63" s="108" t="s">
        <v>206</v>
      </c>
      <c r="L63" s="108">
        <v>21.6</v>
      </c>
      <c r="M63" s="108" t="s">
        <v>207</v>
      </c>
      <c r="N63" s="108" t="e">
        <f>L63*#REF!</f>
        <v>#REF!</v>
      </c>
      <c r="P63" s="108" t="e">
        <f>N63*$L$73</f>
        <v>#REF!</v>
      </c>
      <c r="W63" s="109" t="e">
        <f>P63/#REF!</f>
        <v>#REF!</v>
      </c>
      <c r="Y63" s="108" t="e">
        <f>0.6*W63</f>
        <v>#REF!</v>
      </c>
    </row>
    <row r="64" spans="3:26" ht="12.75" hidden="1">
      <c r="C64" s="108" t="s">
        <v>169</v>
      </c>
      <c r="L64" s="108">
        <v>2.3</v>
      </c>
      <c r="M64" s="108" t="s">
        <v>157</v>
      </c>
      <c r="N64" s="108" t="e">
        <f>L64*#REF!</f>
        <v>#REF!</v>
      </c>
      <c r="P64" s="108" t="e">
        <f>N64*$L$73</f>
        <v>#REF!</v>
      </c>
      <c r="W64" s="109" t="e">
        <f>P64/#REF!</f>
        <v>#REF!</v>
      </c>
      <c r="Y64" s="108" t="e">
        <f>0.6*W64</f>
        <v>#REF!</v>
      </c>
      <c r="Z64" s="113"/>
    </row>
    <row r="65" spans="3:23" ht="12.75" hidden="1">
      <c r="C65" s="108" t="s">
        <v>208</v>
      </c>
      <c r="L65" s="108">
        <v>120</v>
      </c>
      <c r="M65" s="108" t="s">
        <v>157</v>
      </c>
      <c r="W65" s="109"/>
    </row>
    <row r="66" ht="12.75" hidden="1">
      <c r="W66" s="109"/>
    </row>
    <row r="67" spans="3:25" ht="12.75" hidden="1">
      <c r="C67" s="108" t="s">
        <v>170</v>
      </c>
      <c r="L67" s="108">
        <v>0.024</v>
      </c>
      <c r="M67" s="108" t="s">
        <v>209</v>
      </c>
      <c r="N67" s="108" t="e">
        <f>L67*296*#REF!</f>
        <v>#REF!</v>
      </c>
      <c r="O67" s="108" t="s">
        <v>200</v>
      </c>
      <c r="P67" s="108" t="e">
        <f>N67*$L$73</f>
        <v>#REF!</v>
      </c>
      <c r="W67" s="109" t="e">
        <f>P67/#REF!</f>
        <v>#REF!</v>
      </c>
      <c r="Y67" s="108" t="e">
        <f>0.6*W67</f>
        <v>#REF!</v>
      </c>
    </row>
    <row r="68" ht="12.75" hidden="1">
      <c r="W68" s="109"/>
    </row>
    <row r="69" spans="3:25" ht="12.75" hidden="1">
      <c r="C69" s="108" t="s">
        <v>210</v>
      </c>
      <c r="L69" s="108">
        <v>0.0004</v>
      </c>
      <c r="M69" s="108" t="s">
        <v>211</v>
      </c>
      <c r="N69" s="108" t="e">
        <f>L69*#REF!</f>
        <v>#REF!</v>
      </c>
      <c r="O69" s="108" t="s">
        <v>212</v>
      </c>
      <c r="P69" s="108" t="e">
        <f>#REF!*N69</f>
        <v>#REF!</v>
      </c>
      <c r="S69" s="108" t="s">
        <v>201</v>
      </c>
      <c r="W69" s="109" t="e">
        <f>L69*#REF!</f>
        <v>#REF!</v>
      </c>
      <c r="Y69" s="108" t="e">
        <f>0.6*W69</f>
        <v>#REF!</v>
      </c>
    </row>
    <row r="70" ht="12.75" hidden="1"/>
    <row r="71" spans="3:25" ht="12.75" hidden="1">
      <c r="C71" s="108" t="s">
        <v>213</v>
      </c>
      <c r="L71" s="108">
        <v>50</v>
      </c>
      <c r="M71" s="108" t="s">
        <v>214</v>
      </c>
      <c r="N71" s="108" t="e">
        <f>L71*2*#REF!*#REF!/1000</f>
        <v>#REF!</v>
      </c>
      <c r="O71" s="108" t="s">
        <v>200</v>
      </c>
      <c r="P71" s="108" t="e">
        <f>N71*L73</f>
        <v>#REF!</v>
      </c>
      <c r="S71" s="108" t="s">
        <v>201</v>
      </c>
      <c r="W71" s="109" t="e">
        <f>P71/#REF!</f>
        <v>#REF!</v>
      </c>
      <c r="Y71" s="108" t="e">
        <f>0.6*W71</f>
        <v>#REF!</v>
      </c>
    </row>
    <row r="72" ht="12.75" hidden="1"/>
    <row r="73" spans="3:15" ht="12.75" hidden="1">
      <c r="C73" s="108" t="s">
        <v>215</v>
      </c>
      <c r="L73" s="108">
        <v>3.03</v>
      </c>
      <c r="M73" s="108" t="s">
        <v>216</v>
      </c>
      <c r="O73" s="113">
        <f>26.8/(26.8+1.14*16)</f>
        <v>0.5950266429840142</v>
      </c>
    </row>
    <row r="74" spans="3:13" ht="12.75" hidden="1">
      <c r="C74" s="108" t="s">
        <v>217</v>
      </c>
      <c r="L74" s="108">
        <v>1.14</v>
      </c>
      <c r="M74" s="108" t="s">
        <v>218</v>
      </c>
    </row>
    <row r="75" ht="12.75" hidden="1"/>
    <row r="76" spans="3:25" ht="12.75" hidden="1">
      <c r="C76" s="108" t="s">
        <v>219</v>
      </c>
      <c r="L76" s="108">
        <v>18.2</v>
      </c>
      <c r="M76" s="108" t="s">
        <v>175</v>
      </c>
      <c r="N76" s="108" t="e">
        <f>L76*#REF!</f>
        <v>#REF!</v>
      </c>
      <c r="O76" s="108" t="s">
        <v>162</v>
      </c>
      <c r="W76" s="109" t="e">
        <f>N76/#REF!</f>
        <v>#REF!</v>
      </c>
      <c r="Y76" s="108" t="e">
        <f>0.6*W76</f>
        <v>#REF!</v>
      </c>
    </row>
    <row r="77" ht="12.75" hidden="1"/>
    <row r="78" spans="3:23" ht="12.75" hidden="1">
      <c r="C78" s="108" t="s">
        <v>220</v>
      </c>
      <c r="L78" s="108">
        <v>150</v>
      </c>
      <c r="M78" s="108" t="s">
        <v>34</v>
      </c>
      <c r="N78" s="108" t="e">
        <f>L78*#REF!*#REF!/1000</f>
        <v>#REF!</v>
      </c>
      <c r="W78" s="109" t="e">
        <f>N78/#REF!</f>
        <v>#REF!</v>
      </c>
    </row>
    <row r="79" ht="12.75" hidden="1"/>
    <row r="80" spans="3:25" ht="12.75" hidden="1">
      <c r="C80" s="108" t="s">
        <v>221</v>
      </c>
      <c r="L80" s="108">
        <v>0.00084</v>
      </c>
      <c r="M80" s="108" t="s">
        <v>183</v>
      </c>
      <c r="Y80" s="108" t="e">
        <f>L80*#REF!</f>
        <v>#REF!</v>
      </c>
    </row>
    <row r="81" spans="3:25" ht="12.75" hidden="1">
      <c r="C81" s="108" t="s">
        <v>222</v>
      </c>
      <c r="L81" s="108">
        <v>0.0034</v>
      </c>
      <c r="M81" s="108" t="s">
        <v>183</v>
      </c>
      <c r="Y81" s="108" t="e">
        <f>L81*#REF!</f>
        <v>#REF!</v>
      </c>
    </row>
    <row r="82" ht="12.75" hidden="1"/>
    <row r="83" spans="24:25" ht="12.75" hidden="1">
      <c r="X83" s="108" t="s">
        <v>196</v>
      </c>
      <c r="Y83" s="109" t="e">
        <f>SUM(Y60:Y82)</f>
        <v>#REF!</v>
      </c>
    </row>
    <row r="84" spans="25:26" ht="12.75" hidden="1">
      <c r="Y84" s="108">
        <v>83.8</v>
      </c>
      <c r="Z84" s="108" t="s">
        <v>223</v>
      </c>
    </row>
    <row r="85" ht="12.75" hidden="1">
      <c r="Y85" s="115" t="e">
        <f>1-Y83/Y84</f>
        <v>#REF!</v>
      </c>
    </row>
    <row r="86" ht="12.75" hidden="1"/>
    <row r="87" ht="12.75" hidden="1"/>
    <row r="88" ht="12.75" hidden="1"/>
    <row r="89" spans="20:23" ht="12.75" hidden="1">
      <c r="T89" s="108" t="s">
        <v>224</v>
      </c>
      <c r="U89" s="108" t="s">
        <v>225</v>
      </c>
      <c r="V89" s="108" t="s">
        <v>226</v>
      </c>
      <c r="W89" s="108" t="s">
        <v>227</v>
      </c>
    </row>
    <row r="90" spans="19:23" ht="12.75" hidden="1">
      <c r="S90" s="108" t="s">
        <v>154</v>
      </c>
      <c r="T90" s="116">
        <v>0.56</v>
      </c>
      <c r="U90" s="116">
        <v>0.6</v>
      </c>
      <c r="V90" s="116">
        <v>0.65</v>
      </c>
      <c r="W90" s="116">
        <v>0.6</v>
      </c>
    </row>
    <row r="91" spans="19:23" ht="12.75" hidden="1">
      <c r="S91" s="108" t="s">
        <v>197</v>
      </c>
      <c r="T91" s="116">
        <v>0.53</v>
      </c>
      <c r="U91" s="116">
        <v>0.48</v>
      </c>
      <c r="V91" s="116">
        <v>0.51</v>
      </c>
      <c r="W91" s="116">
        <v>0.48</v>
      </c>
    </row>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mergeCells count="6">
    <mergeCell ref="L3:M3"/>
    <mergeCell ref="B6:C6"/>
    <mergeCell ref="Q2:R2"/>
    <mergeCell ref="Q3:R3"/>
    <mergeCell ref="D3:K3"/>
    <mergeCell ref="B2:C2"/>
  </mergeCells>
  <conditionalFormatting sqref="D5:O5 S5 D28:O28 P5:R28">
    <cfRule type="cellIs" priority="1" dxfId="0" operator="equal" stopIfTrue="1">
      <formula>"N.A."</formula>
    </cfRule>
  </conditionalFormatting>
  <printOptions/>
  <pageMargins left="0.75" right="0.75" top="1" bottom="1" header="0.5" footer="0.5"/>
  <pageSetup fitToHeight="0" fitToWidth="1" horizontalDpi="600" verticalDpi="600" orientation="landscape" paperSize="9" scale="38" r:id="rId4"/>
  <headerFooter alignWithMargins="0">
    <oddFooter>&amp;L&amp;8&amp;F&amp;C&amp;8&amp;A&amp;R&amp;8page&amp;P</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Blad6">
    <pageSetUpPr fitToPage="1"/>
  </sheetPr>
  <dimension ref="A2:AJ194"/>
  <sheetViews>
    <sheetView zoomScale="80" zoomScaleNormal="80" zoomScalePageLayoutView="0" workbookViewId="0" topLeftCell="A1">
      <pane xSplit="3" ySplit="6" topLeftCell="D34"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3.140625" style="108" customWidth="1"/>
    <col min="2" max="2" width="4.7109375" style="109" customWidth="1"/>
    <col min="3" max="3" width="52.28125" style="108" customWidth="1"/>
    <col min="4" max="6" width="10.7109375" style="108" customWidth="1"/>
    <col min="7" max="7" width="13.7109375" style="108" customWidth="1"/>
    <col min="8" max="10" width="10.7109375" style="108" customWidth="1"/>
    <col min="11" max="11" width="13.8515625" style="108" customWidth="1"/>
    <col min="12" max="14" width="12.00390625" style="108" customWidth="1"/>
    <col min="15" max="15" width="16.140625" style="108" customWidth="1"/>
    <col min="16" max="18" width="12.7109375" style="108" customWidth="1"/>
    <col min="19" max="19" width="40.7109375" style="108" customWidth="1"/>
    <col min="20" max="20" width="139.28125" style="108" customWidth="1"/>
    <col min="21" max="21" width="13.28125" style="108" bestFit="1" customWidth="1"/>
    <col min="22" max="22" width="10.140625" style="108" bestFit="1" customWidth="1"/>
    <col min="23" max="23" width="13.28125" style="108" bestFit="1" customWidth="1"/>
    <col min="24" max="24" width="9.140625" style="108" customWidth="1"/>
    <col min="25" max="25" width="10.140625" style="108" bestFit="1" customWidth="1"/>
    <col min="26" max="26" width="9.140625" style="108" customWidth="1"/>
    <col min="27" max="27" width="13.28125" style="108" bestFit="1" customWidth="1"/>
    <col min="28" max="16384" width="9.140625" style="108" customWidth="1"/>
  </cols>
  <sheetData>
    <row r="1" ht="102" customHeight="1" thickBot="1"/>
    <row r="2" spans="2:3" ht="14.25" customHeight="1" thickBot="1">
      <c r="B2" s="452" t="s">
        <v>425</v>
      </c>
      <c r="C2" s="451"/>
    </row>
    <row r="3" spans="3:18" ht="13.5" thickBot="1">
      <c r="C3" s="108">
        <v>1</v>
      </c>
      <c r="D3" s="108">
        <v>2</v>
      </c>
      <c r="E3" s="108">
        <v>3</v>
      </c>
      <c r="F3" s="108">
        <v>4</v>
      </c>
      <c r="G3" s="108">
        <v>5</v>
      </c>
      <c r="H3" s="108">
        <v>6</v>
      </c>
      <c r="I3" s="108">
        <v>7</v>
      </c>
      <c r="J3" s="108">
        <v>8</v>
      </c>
      <c r="K3" s="108">
        <v>9</v>
      </c>
      <c r="L3" s="108">
        <v>10</v>
      </c>
      <c r="M3" s="108">
        <v>11</v>
      </c>
      <c r="N3" s="108">
        <v>12</v>
      </c>
      <c r="O3" s="108">
        <v>13</v>
      </c>
      <c r="P3" s="108">
        <v>14</v>
      </c>
      <c r="Q3" s="345">
        <v>15</v>
      </c>
      <c r="R3" s="345">
        <v>16</v>
      </c>
    </row>
    <row r="4" spans="2:20" ht="19.5">
      <c r="B4" s="679" t="s">
        <v>105</v>
      </c>
      <c r="C4" s="680"/>
      <c r="D4" s="427"/>
      <c r="E4" s="397"/>
      <c r="F4" s="397"/>
      <c r="G4" s="397"/>
      <c r="H4" s="397"/>
      <c r="I4" s="397"/>
      <c r="J4" s="397"/>
      <c r="K4" s="398"/>
      <c r="L4" s="397"/>
      <c r="M4" s="402"/>
      <c r="N4" s="400"/>
      <c r="O4" s="401" t="s">
        <v>38</v>
      </c>
      <c r="P4" s="399" t="s">
        <v>417</v>
      </c>
      <c r="Q4" s="675" t="s">
        <v>464</v>
      </c>
      <c r="R4" s="676"/>
      <c r="S4" s="403"/>
      <c r="T4" s="398"/>
    </row>
    <row r="5" spans="2:20" ht="12.75">
      <c r="B5" s="410"/>
      <c r="C5" s="406" t="s">
        <v>106</v>
      </c>
      <c r="D5" s="687" t="s">
        <v>107</v>
      </c>
      <c r="E5" s="672"/>
      <c r="F5" s="672"/>
      <c r="G5" s="672"/>
      <c r="H5" s="672"/>
      <c r="I5" s="672"/>
      <c r="J5" s="672"/>
      <c r="K5" s="678"/>
      <c r="L5" s="672" t="s">
        <v>108</v>
      </c>
      <c r="M5" s="672"/>
      <c r="N5" s="344" t="s">
        <v>42</v>
      </c>
      <c r="O5" s="381" t="s">
        <v>39</v>
      </c>
      <c r="P5" s="343" t="s">
        <v>418</v>
      </c>
      <c r="Q5" s="677" t="s">
        <v>465</v>
      </c>
      <c r="R5" s="678"/>
      <c r="S5" s="389" t="s">
        <v>109</v>
      </c>
      <c r="T5" s="361" t="s">
        <v>110</v>
      </c>
    </row>
    <row r="6" spans="2:20" s="353" customFormat="1" ht="15">
      <c r="B6" s="411"/>
      <c r="C6" s="390" t="s">
        <v>111</v>
      </c>
      <c r="D6" s="445" t="s">
        <v>396</v>
      </c>
      <c r="E6" s="446" t="s">
        <v>397</v>
      </c>
      <c r="F6" s="446" t="s">
        <v>398</v>
      </c>
      <c r="G6" s="447" t="s">
        <v>399</v>
      </c>
      <c r="H6" s="446" t="s">
        <v>400</v>
      </c>
      <c r="I6" s="446" t="s">
        <v>401</v>
      </c>
      <c r="J6" s="446" t="s">
        <v>402</v>
      </c>
      <c r="K6" s="447" t="s">
        <v>403</v>
      </c>
      <c r="L6" s="446" t="s">
        <v>404</v>
      </c>
      <c r="M6" s="448" t="s">
        <v>405</v>
      </c>
      <c r="N6" s="449" t="s">
        <v>463</v>
      </c>
      <c r="O6" s="392" t="s">
        <v>113</v>
      </c>
      <c r="P6" s="446" t="s">
        <v>112</v>
      </c>
      <c r="Q6" s="450" t="s">
        <v>406</v>
      </c>
      <c r="R6" s="447" t="s">
        <v>407</v>
      </c>
      <c r="S6" s="457"/>
      <c r="T6" s="412"/>
    </row>
    <row r="7" spans="1:20" ht="12.75">
      <c r="A7" s="345"/>
      <c r="B7" s="453"/>
      <c r="C7" s="425"/>
      <c r="D7" s="428"/>
      <c r="E7" s="357"/>
      <c r="F7" s="357"/>
      <c r="G7" s="425"/>
      <c r="H7" s="364"/>
      <c r="I7" s="357"/>
      <c r="J7" s="357"/>
      <c r="K7" s="425"/>
      <c r="L7" s="364"/>
      <c r="M7" s="357"/>
      <c r="N7" s="357"/>
      <c r="O7" s="425"/>
      <c r="P7" s="364"/>
      <c r="Q7" s="357"/>
      <c r="R7" s="425"/>
      <c r="S7" s="437"/>
      <c r="T7" s="444"/>
    </row>
    <row r="8" spans="1:20" ht="12.75">
      <c r="A8" s="345"/>
      <c r="B8" s="413" t="s">
        <v>419</v>
      </c>
      <c r="C8" s="423"/>
      <c r="D8" s="429"/>
      <c r="E8" s="346"/>
      <c r="F8" s="346"/>
      <c r="G8" s="423"/>
      <c r="H8" s="354"/>
      <c r="I8" s="346"/>
      <c r="J8" s="346"/>
      <c r="K8" s="423"/>
      <c r="L8" s="354"/>
      <c r="M8" s="346"/>
      <c r="N8" s="346"/>
      <c r="O8" s="423"/>
      <c r="P8" s="354"/>
      <c r="Q8" s="346"/>
      <c r="R8" s="423"/>
      <c r="S8" s="438"/>
      <c r="T8" s="367"/>
    </row>
    <row r="9" spans="1:20" ht="14.25">
      <c r="A9" s="345"/>
      <c r="B9" s="414"/>
      <c r="C9" s="423" t="s">
        <v>228</v>
      </c>
      <c r="D9" s="571"/>
      <c r="E9" s="572"/>
      <c r="F9" s="572"/>
      <c r="G9" s="573">
        <v>1</v>
      </c>
      <c r="H9" s="571"/>
      <c r="I9" s="572"/>
      <c r="J9" s="572"/>
      <c r="K9" s="581"/>
      <c r="L9" s="571"/>
      <c r="M9" s="572"/>
      <c r="N9" s="572"/>
      <c r="O9" s="581"/>
      <c r="P9" s="582"/>
      <c r="Q9" s="583"/>
      <c r="R9" s="584"/>
      <c r="S9" s="438" t="s">
        <v>426</v>
      </c>
      <c r="T9" s="367" t="s">
        <v>427</v>
      </c>
    </row>
    <row r="10" spans="1:20" ht="14.25">
      <c r="A10" s="345"/>
      <c r="B10" s="414"/>
      <c r="C10" s="423" t="s">
        <v>229</v>
      </c>
      <c r="D10" s="571"/>
      <c r="E10" s="572"/>
      <c r="F10" s="572"/>
      <c r="G10" s="573">
        <f>23+2*Option_A_0_B_1</f>
        <v>23</v>
      </c>
      <c r="H10" s="571"/>
      <c r="I10" s="572"/>
      <c r="J10" s="572"/>
      <c r="K10" s="581"/>
      <c r="L10" s="571"/>
      <c r="M10" s="572"/>
      <c r="N10" s="572"/>
      <c r="O10" s="581"/>
      <c r="P10" s="582"/>
      <c r="Q10" s="583"/>
      <c r="R10" s="584"/>
      <c r="S10" s="438" t="s">
        <v>426</v>
      </c>
      <c r="T10" s="367" t="s">
        <v>427</v>
      </c>
    </row>
    <row r="11" spans="1:20" ht="14.25">
      <c r="A11" s="345"/>
      <c r="B11" s="414"/>
      <c r="C11" s="423" t="s">
        <v>230</v>
      </c>
      <c r="D11" s="571"/>
      <c r="E11" s="572"/>
      <c r="F11" s="572"/>
      <c r="G11" s="573">
        <f>296+2*Option_A_0_B_1</f>
        <v>296</v>
      </c>
      <c r="H11" s="571"/>
      <c r="I11" s="572"/>
      <c r="J11" s="572"/>
      <c r="K11" s="581"/>
      <c r="L11" s="571"/>
      <c r="M11" s="572"/>
      <c r="N11" s="572"/>
      <c r="O11" s="581"/>
      <c r="P11" s="582"/>
      <c r="Q11" s="583"/>
      <c r="R11" s="584"/>
      <c r="S11" s="438" t="s">
        <v>426</v>
      </c>
      <c r="T11" s="367" t="s">
        <v>427</v>
      </c>
    </row>
    <row r="12" spans="1:20" ht="12.75">
      <c r="A12" s="345"/>
      <c r="B12" s="414"/>
      <c r="C12" s="423"/>
      <c r="D12" s="429"/>
      <c r="E12" s="346"/>
      <c r="F12" s="346"/>
      <c r="G12" s="423"/>
      <c r="H12" s="354"/>
      <c r="I12" s="346"/>
      <c r="J12" s="346"/>
      <c r="K12" s="423"/>
      <c r="L12" s="354"/>
      <c r="M12" s="346"/>
      <c r="N12" s="346"/>
      <c r="O12" s="423"/>
      <c r="P12" s="354"/>
      <c r="Q12" s="346"/>
      <c r="R12" s="423"/>
      <c r="S12" s="441"/>
      <c r="T12" s="367"/>
    </row>
    <row r="13" spans="1:20" ht="12.75">
      <c r="A13" s="345"/>
      <c r="B13" s="413" t="s">
        <v>114</v>
      </c>
      <c r="C13" s="423"/>
      <c r="D13" s="521"/>
      <c r="E13" s="522"/>
      <c r="F13" s="523"/>
      <c r="G13" s="524"/>
      <c r="H13" s="521"/>
      <c r="I13" s="522"/>
      <c r="J13" s="523"/>
      <c r="K13" s="524"/>
      <c r="L13" s="521"/>
      <c r="M13" s="522"/>
      <c r="N13" s="523"/>
      <c r="O13" s="524"/>
      <c r="P13" s="525"/>
      <c r="Q13" s="523"/>
      <c r="R13" s="524"/>
      <c r="S13" s="526"/>
      <c r="T13" s="527"/>
    </row>
    <row r="14" spans="1:36" ht="12.75">
      <c r="A14" s="409"/>
      <c r="B14" s="415"/>
      <c r="C14" s="423" t="s">
        <v>115</v>
      </c>
      <c r="D14" s="574">
        <v>2827.0049</v>
      </c>
      <c r="E14" s="575">
        <v>8.6788</v>
      </c>
      <c r="F14" s="576">
        <v>9.6418</v>
      </c>
      <c r="G14" s="528">
        <f>D14*$G$9+E14*$G$10+F14*$G$11</f>
        <v>5880.590099999999</v>
      </c>
      <c r="H14" s="571"/>
      <c r="I14" s="572"/>
      <c r="J14" s="572"/>
      <c r="K14" s="581"/>
      <c r="L14" s="579">
        <v>48.9906</v>
      </c>
      <c r="M14" s="572"/>
      <c r="N14" s="572"/>
      <c r="O14" s="581"/>
      <c r="P14" s="582"/>
      <c r="Q14" s="583"/>
      <c r="R14" s="584"/>
      <c r="S14" s="527" t="s">
        <v>15</v>
      </c>
      <c r="T14" s="527"/>
      <c r="U14" s="110"/>
      <c r="V14" s="110"/>
      <c r="W14" s="110"/>
      <c r="X14" s="110"/>
      <c r="Y14" s="110"/>
      <c r="Z14" s="110"/>
      <c r="AA14" s="110"/>
      <c r="AB14" s="110"/>
      <c r="AC14" s="110"/>
      <c r="AD14" s="110"/>
      <c r="AE14" s="110"/>
      <c r="AF14" s="110"/>
      <c r="AG14" s="110"/>
      <c r="AH14" s="110"/>
      <c r="AI14" s="110"/>
      <c r="AJ14" s="110"/>
    </row>
    <row r="15" spans="1:20" ht="14.25">
      <c r="A15" s="345"/>
      <c r="B15" s="415"/>
      <c r="C15" s="423" t="s">
        <v>247</v>
      </c>
      <c r="D15" s="574">
        <v>964.8865</v>
      </c>
      <c r="E15" s="575">
        <v>1.331</v>
      </c>
      <c r="F15" s="576">
        <v>0.0515</v>
      </c>
      <c r="G15" s="528">
        <f>D15*$G$9+E15*$G$10+F15*$G$11</f>
        <v>1010.7434999999999</v>
      </c>
      <c r="H15" s="571"/>
      <c r="I15" s="572"/>
      <c r="J15" s="572"/>
      <c r="K15" s="581"/>
      <c r="L15" s="579">
        <v>15.2334</v>
      </c>
      <c r="M15" s="572"/>
      <c r="N15" s="572"/>
      <c r="O15" s="581"/>
      <c r="P15" s="582"/>
      <c r="Q15" s="583"/>
      <c r="R15" s="584"/>
      <c r="S15" s="527" t="s">
        <v>15</v>
      </c>
      <c r="T15" s="527"/>
    </row>
    <row r="16" spans="1:20" ht="14.25">
      <c r="A16" s="345"/>
      <c r="B16" s="415"/>
      <c r="C16" s="423" t="s">
        <v>248</v>
      </c>
      <c r="D16" s="574">
        <v>536.3109</v>
      </c>
      <c r="E16" s="575">
        <v>1.5709</v>
      </c>
      <c r="F16" s="576">
        <v>0.0123</v>
      </c>
      <c r="G16" s="528">
        <f>D16*$G$9+E16*$G$10+F16*$G$11</f>
        <v>576.0824</v>
      </c>
      <c r="H16" s="571"/>
      <c r="I16" s="572"/>
      <c r="J16" s="572"/>
      <c r="K16" s="581"/>
      <c r="L16" s="579">
        <v>9.67896</v>
      </c>
      <c r="M16" s="572"/>
      <c r="N16" s="572"/>
      <c r="O16" s="581"/>
      <c r="P16" s="582"/>
      <c r="Q16" s="583"/>
      <c r="R16" s="584"/>
      <c r="S16" s="527" t="s">
        <v>15</v>
      </c>
      <c r="T16" s="527"/>
    </row>
    <row r="17" spans="1:20" ht="12.75">
      <c r="A17" s="345"/>
      <c r="B17" s="415"/>
      <c r="C17" s="423" t="s">
        <v>116</v>
      </c>
      <c r="D17" s="574">
        <v>119.116</v>
      </c>
      <c r="E17" s="575">
        <v>0.2159</v>
      </c>
      <c r="F17" s="576">
        <v>0.0183</v>
      </c>
      <c r="G17" s="528">
        <f>D17*$G$9+E17*$G$10+F17*$G$11</f>
        <v>129.4985</v>
      </c>
      <c r="H17" s="571"/>
      <c r="I17" s="572"/>
      <c r="J17" s="572"/>
      <c r="K17" s="581"/>
      <c r="L17" s="579">
        <v>1.9735200000000002</v>
      </c>
      <c r="M17" s="572"/>
      <c r="N17" s="572"/>
      <c r="O17" s="581"/>
      <c r="P17" s="582"/>
      <c r="Q17" s="583"/>
      <c r="R17" s="584"/>
      <c r="S17" s="527" t="s">
        <v>15</v>
      </c>
      <c r="T17" s="527"/>
    </row>
    <row r="18" spans="1:20" ht="12.75">
      <c r="A18" s="345"/>
      <c r="B18" s="415"/>
      <c r="C18" s="423" t="s">
        <v>31</v>
      </c>
      <c r="D18" s="574">
        <v>9886.502</v>
      </c>
      <c r="E18" s="575">
        <v>25.5271</v>
      </c>
      <c r="F18" s="576">
        <v>1.6814</v>
      </c>
      <c r="G18" s="528">
        <f>D18*$G$9+E18*$G$10+F18*$G$11</f>
        <v>10971.3197</v>
      </c>
      <c r="H18" s="571"/>
      <c r="I18" s="572"/>
      <c r="J18" s="572"/>
      <c r="K18" s="581"/>
      <c r="L18" s="579">
        <v>268.3998</v>
      </c>
      <c r="M18" s="572"/>
      <c r="N18" s="572"/>
      <c r="O18" s="581"/>
      <c r="P18" s="582"/>
      <c r="Q18" s="583"/>
      <c r="R18" s="584"/>
      <c r="S18" s="527" t="s">
        <v>15</v>
      </c>
      <c r="T18" s="527"/>
    </row>
    <row r="19" spans="1:20" ht="12.75">
      <c r="A19" s="345"/>
      <c r="B19" s="415"/>
      <c r="C19" s="511" t="s">
        <v>117</v>
      </c>
      <c r="D19" s="577">
        <v>0</v>
      </c>
      <c r="E19" s="578">
        <v>0</v>
      </c>
      <c r="F19" s="578">
        <v>0</v>
      </c>
      <c r="G19" s="529">
        <v>0</v>
      </c>
      <c r="H19" s="571"/>
      <c r="I19" s="572"/>
      <c r="J19" s="572"/>
      <c r="K19" s="581"/>
      <c r="L19" s="577">
        <v>0</v>
      </c>
      <c r="M19" s="572"/>
      <c r="N19" s="572"/>
      <c r="O19" s="581"/>
      <c r="P19" s="582"/>
      <c r="Q19" s="583"/>
      <c r="R19" s="584"/>
      <c r="S19" s="527" t="s">
        <v>15</v>
      </c>
      <c r="T19" s="527"/>
    </row>
    <row r="20" spans="1:20" ht="12.75">
      <c r="A20" s="345"/>
      <c r="B20" s="415"/>
      <c r="C20" s="511" t="s">
        <v>118</v>
      </c>
      <c r="D20" s="574">
        <v>412.0811</v>
      </c>
      <c r="E20" s="575">
        <v>0.9127</v>
      </c>
      <c r="F20" s="576">
        <v>1.0028</v>
      </c>
      <c r="G20" s="528">
        <f>D20*$G$9+E20*$G$10+F20*$G$11</f>
        <v>729.902</v>
      </c>
      <c r="H20" s="571"/>
      <c r="I20" s="572"/>
      <c r="J20" s="572"/>
      <c r="K20" s="581"/>
      <c r="L20" s="579">
        <v>7.86564</v>
      </c>
      <c r="M20" s="572"/>
      <c r="N20" s="572"/>
      <c r="O20" s="581"/>
      <c r="P20" s="582"/>
      <c r="Q20" s="583"/>
      <c r="R20" s="584"/>
      <c r="S20" s="527" t="s">
        <v>15</v>
      </c>
      <c r="T20" s="527"/>
    </row>
    <row r="21" spans="1:20" ht="12.75">
      <c r="A21" s="345"/>
      <c r="B21" s="415"/>
      <c r="C21" s="511" t="s">
        <v>119</v>
      </c>
      <c r="D21" s="577">
        <v>0</v>
      </c>
      <c r="E21" s="578">
        <v>0</v>
      </c>
      <c r="F21" s="578">
        <v>0</v>
      </c>
      <c r="G21" s="529">
        <v>0</v>
      </c>
      <c r="H21" s="571"/>
      <c r="I21" s="572"/>
      <c r="J21" s="572"/>
      <c r="K21" s="581"/>
      <c r="L21" s="577">
        <v>0</v>
      </c>
      <c r="M21" s="572"/>
      <c r="N21" s="572"/>
      <c r="O21" s="581"/>
      <c r="P21" s="582"/>
      <c r="Q21" s="583"/>
      <c r="R21" s="584"/>
      <c r="S21" s="527" t="s">
        <v>15</v>
      </c>
      <c r="T21" s="527"/>
    </row>
    <row r="22" spans="1:20" ht="12.75">
      <c r="A22" s="345"/>
      <c r="B22" s="415"/>
      <c r="C22" s="511" t="s">
        <v>120</v>
      </c>
      <c r="D22" s="574">
        <v>2187.7141</v>
      </c>
      <c r="E22" s="575">
        <v>4.6004</v>
      </c>
      <c r="F22" s="576">
        <v>4.212</v>
      </c>
      <c r="G22" s="528">
        <f>D22*$G$9+E22*$G$10+F22*$G$11</f>
        <v>3540.2753000000002</v>
      </c>
      <c r="H22" s="571"/>
      <c r="I22" s="572"/>
      <c r="J22" s="572"/>
      <c r="K22" s="581"/>
      <c r="L22" s="579">
        <v>36.29412</v>
      </c>
      <c r="M22" s="572"/>
      <c r="N22" s="572"/>
      <c r="O22" s="581"/>
      <c r="P22" s="582"/>
      <c r="Q22" s="583"/>
      <c r="R22" s="584"/>
      <c r="S22" s="527" t="s">
        <v>15</v>
      </c>
      <c r="T22" s="527"/>
    </row>
    <row r="23" spans="1:20" ht="12.75">
      <c r="A23" s="345"/>
      <c r="B23" s="415"/>
      <c r="C23" s="511" t="s">
        <v>121</v>
      </c>
      <c r="D23" s="574">
        <v>1.6398</v>
      </c>
      <c r="E23" s="575">
        <v>0.0001</v>
      </c>
      <c r="F23" s="576">
        <v>0</v>
      </c>
      <c r="G23" s="528">
        <f>D23*$G$9+E23*$G$10+F23*$G$11</f>
        <v>1.6421</v>
      </c>
      <c r="H23" s="571"/>
      <c r="I23" s="572"/>
      <c r="J23" s="572"/>
      <c r="K23" s="581"/>
      <c r="L23" s="579">
        <v>0.0216</v>
      </c>
      <c r="M23" s="572"/>
      <c r="N23" s="572"/>
      <c r="O23" s="581"/>
      <c r="P23" s="582"/>
      <c r="Q23" s="583"/>
      <c r="R23" s="584"/>
      <c r="S23" s="527" t="s">
        <v>15</v>
      </c>
      <c r="T23" s="527"/>
    </row>
    <row r="24" spans="1:20" ht="12.75">
      <c r="A24" s="345"/>
      <c r="B24" s="415"/>
      <c r="C24" s="511" t="s">
        <v>122</v>
      </c>
      <c r="D24" s="574">
        <v>412.0811</v>
      </c>
      <c r="E24" s="575">
        <v>0.9127</v>
      </c>
      <c r="F24" s="576">
        <v>1.0028</v>
      </c>
      <c r="G24" s="528">
        <f>D24*$G$9+E24*$G$10+F24*$G$11</f>
        <v>729.902</v>
      </c>
      <c r="H24" s="571"/>
      <c r="I24" s="572"/>
      <c r="J24" s="572"/>
      <c r="K24" s="581"/>
      <c r="L24" s="579">
        <v>7.86564</v>
      </c>
      <c r="M24" s="572"/>
      <c r="N24" s="572"/>
      <c r="O24" s="581"/>
      <c r="P24" s="582"/>
      <c r="Q24" s="583"/>
      <c r="R24" s="584"/>
      <c r="S24" s="527" t="s">
        <v>15</v>
      </c>
      <c r="T24" s="527"/>
    </row>
    <row r="25" spans="1:20" ht="12.75">
      <c r="A25" s="345"/>
      <c r="B25" s="415"/>
      <c r="C25" s="511" t="s">
        <v>123</v>
      </c>
      <c r="D25" s="574">
        <v>151.0557</v>
      </c>
      <c r="E25" s="575">
        <v>0.2771</v>
      </c>
      <c r="F25" s="576">
        <v>0.4003</v>
      </c>
      <c r="G25" s="528">
        <f>D25*$G$9+E25*$G$10+F25*$G$11</f>
        <v>275.9178</v>
      </c>
      <c r="H25" s="571"/>
      <c r="I25" s="572"/>
      <c r="J25" s="572"/>
      <c r="K25" s="581"/>
      <c r="L25" s="579">
        <v>2.60748</v>
      </c>
      <c r="M25" s="572"/>
      <c r="N25" s="572"/>
      <c r="O25" s="581"/>
      <c r="P25" s="582"/>
      <c r="Q25" s="583"/>
      <c r="R25" s="584"/>
      <c r="S25" s="527" t="s">
        <v>15</v>
      </c>
      <c r="T25" s="527"/>
    </row>
    <row r="26" spans="1:20" ht="12.75">
      <c r="A26" s="345"/>
      <c r="B26" s="415"/>
      <c r="C26" s="511" t="s">
        <v>124</v>
      </c>
      <c r="D26" s="574">
        <v>0</v>
      </c>
      <c r="E26" s="575">
        <v>0</v>
      </c>
      <c r="F26" s="576">
        <v>0</v>
      </c>
      <c r="G26" s="528">
        <f>D26*$G$9+E26*$G$10+F26*$G$11</f>
        <v>0</v>
      </c>
      <c r="H26" s="571"/>
      <c r="I26" s="572"/>
      <c r="J26" s="572"/>
      <c r="K26" s="581"/>
      <c r="L26" s="579">
        <v>0</v>
      </c>
      <c r="M26" s="572"/>
      <c r="N26" s="572"/>
      <c r="O26" s="581"/>
      <c r="P26" s="582"/>
      <c r="Q26" s="583"/>
      <c r="R26" s="584"/>
      <c r="S26" s="527" t="s">
        <v>15</v>
      </c>
      <c r="T26" s="527"/>
    </row>
    <row r="27" spans="1:20" ht="12.75">
      <c r="A27" s="345"/>
      <c r="B27" s="415"/>
      <c r="C27" s="423"/>
      <c r="D27" s="521"/>
      <c r="E27" s="522"/>
      <c r="F27" s="530"/>
      <c r="G27" s="531"/>
      <c r="H27" s="521"/>
      <c r="I27" s="522"/>
      <c r="J27" s="530"/>
      <c r="K27" s="531"/>
      <c r="L27" s="521"/>
      <c r="M27" s="522"/>
      <c r="N27" s="530"/>
      <c r="O27" s="531"/>
      <c r="P27" s="525"/>
      <c r="Q27" s="523"/>
      <c r="R27" s="524"/>
      <c r="S27" s="527"/>
      <c r="T27" s="527"/>
    </row>
    <row r="28" spans="1:20" ht="12.75">
      <c r="A28" s="345"/>
      <c r="B28" s="413" t="s">
        <v>125</v>
      </c>
      <c r="C28" s="423"/>
      <c r="D28" s="521"/>
      <c r="E28" s="522"/>
      <c r="F28" s="532"/>
      <c r="G28" s="531"/>
      <c r="H28" s="521"/>
      <c r="I28" s="522"/>
      <c r="J28" s="530"/>
      <c r="K28" s="531"/>
      <c r="L28" s="521"/>
      <c r="M28" s="522"/>
      <c r="N28" s="530"/>
      <c r="O28" s="531"/>
      <c r="P28" s="525"/>
      <c r="Q28" s="523"/>
      <c r="R28" s="524"/>
      <c r="S28" s="527"/>
      <c r="T28" s="527"/>
    </row>
    <row r="29" spans="1:20" ht="12.75">
      <c r="A29" s="409"/>
      <c r="B29" s="413"/>
      <c r="C29" s="424" t="s">
        <v>245</v>
      </c>
      <c r="D29" s="571"/>
      <c r="E29" s="572"/>
      <c r="F29" s="572"/>
      <c r="G29" s="581"/>
      <c r="H29" s="579">
        <v>61.57511111111111</v>
      </c>
      <c r="I29" s="576">
        <v>0.1981388888888889</v>
      </c>
      <c r="J29" s="580">
        <v>0.00022222222222222223</v>
      </c>
      <c r="K29" s="533">
        <f>H29*$G$9+I29*$G$10+J29*$G$11</f>
        <v>66.19808333333334</v>
      </c>
      <c r="L29" s="571"/>
      <c r="M29" s="576">
        <v>1.1281</v>
      </c>
      <c r="N29" s="572"/>
      <c r="O29" s="581"/>
      <c r="P29" s="582"/>
      <c r="Q29" s="583"/>
      <c r="R29" s="584"/>
      <c r="S29" s="527" t="s">
        <v>15</v>
      </c>
      <c r="T29" s="527"/>
    </row>
    <row r="30" spans="1:23" ht="12.75">
      <c r="A30" s="409"/>
      <c r="B30" s="413"/>
      <c r="C30" s="424" t="s">
        <v>246</v>
      </c>
      <c r="D30" s="571"/>
      <c r="E30" s="572"/>
      <c r="F30" s="572"/>
      <c r="G30" s="581"/>
      <c r="H30" s="579">
        <v>62.964</v>
      </c>
      <c r="I30" s="576">
        <v>0.1981388888888889</v>
      </c>
      <c r="J30" s="580">
        <v>0.00022222222222222223</v>
      </c>
      <c r="K30" s="533">
        <f>H30*$G$9+I30*$G$10+J30*$G$11</f>
        <v>67.58697222222223</v>
      </c>
      <c r="L30" s="571"/>
      <c r="M30" s="576">
        <v>1.1281</v>
      </c>
      <c r="N30" s="572"/>
      <c r="O30" s="581"/>
      <c r="P30" s="582"/>
      <c r="Q30" s="583"/>
      <c r="R30" s="584"/>
      <c r="S30" s="527" t="s">
        <v>15</v>
      </c>
      <c r="T30" s="527"/>
      <c r="W30" s="345"/>
    </row>
    <row r="31" spans="1:20" ht="12.75">
      <c r="A31" s="409"/>
      <c r="B31" s="413"/>
      <c r="C31" s="423"/>
      <c r="D31" s="534"/>
      <c r="E31" s="535"/>
      <c r="F31" s="530"/>
      <c r="G31" s="511"/>
      <c r="H31" s="534"/>
      <c r="I31" s="536"/>
      <c r="J31" s="537"/>
      <c r="K31" s="533"/>
      <c r="L31" s="534"/>
      <c r="M31" s="538"/>
      <c r="N31" s="530"/>
      <c r="O31" s="539"/>
      <c r="P31" s="525"/>
      <c r="Q31" s="523"/>
      <c r="R31" s="524"/>
      <c r="S31" s="527"/>
      <c r="T31" s="527"/>
    </row>
    <row r="32" spans="1:20" ht="12.75">
      <c r="A32" s="345"/>
      <c r="B32" s="413" t="s">
        <v>126</v>
      </c>
      <c r="C32" s="423"/>
      <c r="D32" s="521"/>
      <c r="E32" s="522"/>
      <c r="F32" s="530"/>
      <c r="G32" s="540"/>
      <c r="H32" s="521"/>
      <c r="I32" s="522"/>
      <c r="J32" s="530"/>
      <c r="K32" s="533"/>
      <c r="L32" s="521"/>
      <c r="M32" s="522"/>
      <c r="N32" s="530"/>
      <c r="O32" s="540"/>
      <c r="P32" s="525"/>
      <c r="Q32" s="523"/>
      <c r="R32" s="524"/>
      <c r="S32" s="527"/>
      <c r="T32" s="527"/>
    </row>
    <row r="33" spans="1:20" ht="12.75">
      <c r="A33" s="345"/>
      <c r="B33" s="415"/>
      <c r="C33" s="423" t="s">
        <v>33</v>
      </c>
      <c r="D33" s="571"/>
      <c r="E33" s="572"/>
      <c r="F33" s="572"/>
      <c r="G33" s="581"/>
      <c r="H33" s="579">
        <v>87.63888888888889</v>
      </c>
      <c r="I33" s="580">
        <v>0</v>
      </c>
      <c r="J33" s="580">
        <v>0</v>
      </c>
      <c r="K33" s="585">
        <f>H33*$G$9+I33*$G$10+J33*$G$11</f>
        <v>87.63888888888889</v>
      </c>
      <c r="L33" s="571"/>
      <c r="M33" s="575">
        <v>1.16</v>
      </c>
      <c r="N33" s="590">
        <v>832</v>
      </c>
      <c r="O33" s="606">
        <v>43.1</v>
      </c>
      <c r="P33" s="582"/>
      <c r="Q33" s="583"/>
      <c r="R33" s="584"/>
      <c r="S33" s="527" t="s">
        <v>15</v>
      </c>
      <c r="T33" s="527"/>
    </row>
    <row r="34" spans="1:20" ht="12.75">
      <c r="A34" s="345"/>
      <c r="B34" s="415"/>
      <c r="C34" s="423" t="s">
        <v>32</v>
      </c>
      <c r="D34" s="571"/>
      <c r="E34" s="572"/>
      <c r="F34" s="572"/>
      <c r="G34" s="581"/>
      <c r="H34" s="571"/>
      <c r="I34" s="572"/>
      <c r="J34" s="572"/>
      <c r="K34" s="586"/>
      <c r="L34" s="571"/>
      <c r="M34" s="572"/>
      <c r="N34" s="590">
        <v>745</v>
      </c>
      <c r="O34" s="606">
        <v>43.2</v>
      </c>
      <c r="P34" s="582"/>
      <c r="Q34" s="583"/>
      <c r="R34" s="584"/>
      <c r="S34" s="527" t="s">
        <v>15</v>
      </c>
      <c r="T34" s="527"/>
    </row>
    <row r="35" spans="1:20" ht="12.75">
      <c r="A35" s="345"/>
      <c r="B35" s="415"/>
      <c r="C35" s="423" t="s">
        <v>41</v>
      </c>
      <c r="D35" s="571"/>
      <c r="E35" s="572"/>
      <c r="F35" s="572"/>
      <c r="G35" s="581"/>
      <c r="H35" s="579">
        <v>84.97777777777777</v>
      </c>
      <c r="I35" s="578">
        <v>0</v>
      </c>
      <c r="J35" s="578">
        <v>0</v>
      </c>
      <c r="K35" s="585">
        <f>H35*$G$9+I35*$G$10+J35*$G$11</f>
        <v>84.97777777777777</v>
      </c>
      <c r="L35" s="571"/>
      <c r="M35" s="590">
        <v>1.088</v>
      </c>
      <c r="N35" s="590">
        <v>970</v>
      </c>
      <c r="O35" s="606">
        <v>40.5</v>
      </c>
      <c r="P35" s="582"/>
      <c r="Q35" s="583"/>
      <c r="R35" s="584"/>
      <c r="S35" s="527" t="s">
        <v>15</v>
      </c>
      <c r="T35" s="527"/>
    </row>
    <row r="36" spans="1:20" ht="12.75">
      <c r="A36" s="345"/>
      <c r="B36" s="415"/>
      <c r="C36" s="423" t="s">
        <v>28</v>
      </c>
      <c r="D36" s="571"/>
      <c r="E36" s="572"/>
      <c r="F36" s="572"/>
      <c r="G36" s="581"/>
      <c r="H36" s="571"/>
      <c r="I36" s="572"/>
      <c r="J36" s="572"/>
      <c r="K36" s="586"/>
      <c r="L36" s="571"/>
      <c r="M36" s="572"/>
      <c r="N36" s="590">
        <v>794</v>
      </c>
      <c r="O36" s="606">
        <v>26.81</v>
      </c>
      <c r="P36" s="582"/>
      <c r="Q36" s="583"/>
      <c r="R36" s="584"/>
      <c r="S36" s="527" t="s">
        <v>15</v>
      </c>
      <c r="T36" s="527"/>
    </row>
    <row r="37" spans="1:20" ht="12.75">
      <c r="A37" s="345"/>
      <c r="B37" s="415"/>
      <c r="C37" s="423" t="s">
        <v>29</v>
      </c>
      <c r="D37" s="571"/>
      <c r="E37" s="572"/>
      <c r="F37" s="572"/>
      <c r="G37" s="581"/>
      <c r="H37" s="579">
        <v>92.79744444444445</v>
      </c>
      <c r="I37" s="576">
        <v>0.2900277777777778</v>
      </c>
      <c r="J37" s="576">
        <v>0.0003333333333333333</v>
      </c>
      <c r="K37" s="585">
        <f>H37*$G$9+I37*$G$10+J37*$G$11</f>
        <v>99.56675000000001</v>
      </c>
      <c r="L37" s="571"/>
      <c r="M37" s="590">
        <v>1.6594</v>
      </c>
      <c r="N37" s="590">
        <v>793</v>
      </c>
      <c r="O37" s="606">
        <v>19.9</v>
      </c>
      <c r="P37" s="582"/>
      <c r="Q37" s="583"/>
      <c r="R37" s="584"/>
      <c r="S37" s="527" t="s">
        <v>15</v>
      </c>
      <c r="T37" s="527"/>
    </row>
    <row r="38" spans="1:20" ht="12.75">
      <c r="A38" s="345"/>
      <c r="B38" s="415"/>
      <c r="C38" s="423" t="s">
        <v>129</v>
      </c>
      <c r="D38" s="571"/>
      <c r="E38" s="572"/>
      <c r="F38" s="572"/>
      <c r="G38" s="581"/>
      <c r="H38" s="571"/>
      <c r="I38" s="572"/>
      <c r="J38" s="572"/>
      <c r="K38" s="586"/>
      <c r="L38" s="571"/>
      <c r="M38" s="572"/>
      <c r="N38" s="590">
        <v>890</v>
      </c>
      <c r="O38" s="605">
        <v>37.2</v>
      </c>
      <c r="P38" s="582"/>
      <c r="Q38" s="583"/>
      <c r="R38" s="584"/>
      <c r="S38" s="527" t="s">
        <v>15</v>
      </c>
      <c r="T38" s="527" t="s">
        <v>130</v>
      </c>
    </row>
    <row r="39" spans="1:20" ht="12.75">
      <c r="A39" s="345"/>
      <c r="B39" s="415"/>
      <c r="C39" s="423" t="s">
        <v>420</v>
      </c>
      <c r="D39" s="571"/>
      <c r="E39" s="572"/>
      <c r="F39" s="572"/>
      <c r="G39" s="581"/>
      <c r="H39" s="571"/>
      <c r="I39" s="572"/>
      <c r="J39" s="572"/>
      <c r="K39" s="586"/>
      <c r="L39" s="571"/>
      <c r="M39" s="572"/>
      <c r="N39" s="590">
        <v>780</v>
      </c>
      <c r="O39" s="605">
        <v>44</v>
      </c>
      <c r="P39" s="582"/>
      <c r="Q39" s="583"/>
      <c r="R39" s="584"/>
      <c r="S39" s="527" t="s">
        <v>15</v>
      </c>
      <c r="T39" s="527"/>
    </row>
    <row r="40" spans="1:20" ht="12.75">
      <c r="A40" s="345"/>
      <c r="B40" s="415"/>
      <c r="C40" s="423" t="s">
        <v>342</v>
      </c>
      <c r="D40" s="571"/>
      <c r="E40" s="572"/>
      <c r="F40" s="572"/>
      <c r="G40" s="581"/>
      <c r="H40" s="571"/>
      <c r="I40" s="572"/>
      <c r="J40" s="572"/>
      <c r="K40" s="586"/>
      <c r="L40" s="571"/>
      <c r="M40" s="572"/>
      <c r="N40" s="590">
        <v>780</v>
      </c>
      <c r="O40" s="605">
        <v>44</v>
      </c>
      <c r="P40" s="582"/>
      <c r="Q40" s="583"/>
      <c r="R40" s="584"/>
      <c r="S40" s="527" t="s">
        <v>15</v>
      </c>
      <c r="T40" s="527"/>
    </row>
    <row r="41" spans="1:20" ht="12.75">
      <c r="A41" s="345"/>
      <c r="B41" s="415"/>
      <c r="C41" s="423"/>
      <c r="D41" s="541"/>
      <c r="E41" s="542"/>
      <c r="F41" s="522"/>
      <c r="G41" s="511"/>
      <c r="H41" s="541"/>
      <c r="I41" s="542"/>
      <c r="J41" s="522"/>
      <c r="K41" s="544"/>
      <c r="L41" s="541"/>
      <c r="M41" s="542"/>
      <c r="N41" s="522"/>
      <c r="O41" s="543"/>
      <c r="P41" s="525"/>
      <c r="Q41" s="523"/>
      <c r="R41" s="524"/>
      <c r="S41" s="527"/>
      <c r="T41" s="527"/>
    </row>
    <row r="42" spans="1:20" ht="12.75">
      <c r="A42" s="409"/>
      <c r="B42" s="413" t="s">
        <v>131</v>
      </c>
      <c r="C42" s="423"/>
      <c r="D42" s="545"/>
      <c r="E42" s="522"/>
      <c r="F42" s="522"/>
      <c r="G42" s="543"/>
      <c r="H42" s="545"/>
      <c r="I42" s="522"/>
      <c r="J42" s="522"/>
      <c r="K42" s="544"/>
      <c r="L42" s="545"/>
      <c r="M42" s="522"/>
      <c r="N42" s="522"/>
      <c r="O42" s="543"/>
      <c r="P42" s="525"/>
      <c r="Q42" s="523"/>
      <c r="R42" s="524"/>
      <c r="S42" s="527"/>
      <c r="T42" s="527"/>
    </row>
    <row r="43" spans="1:21" ht="12.75">
      <c r="A43" s="345"/>
      <c r="B43" s="413"/>
      <c r="C43" s="423" t="s">
        <v>132</v>
      </c>
      <c r="D43" s="571"/>
      <c r="E43" s="572"/>
      <c r="F43" s="572"/>
      <c r="G43" s="581"/>
      <c r="H43" s="579">
        <v>102.38425</v>
      </c>
      <c r="I43" s="576">
        <v>0.3835277777777778</v>
      </c>
      <c r="J43" s="576">
        <v>0.00025</v>
      </c>
      <c r="K43" s="533">
        <f>H43*$G$9+I43*$G$10+J43*$G$11</f>
        <v>111.27938888888887</v>
      </c>
      <c r="L43" s="571"/>
      <c r="M43" s="576">
        <v>1.0885999999999998</v>
      </c>
      <c r="N43" s="572"/>
      <c r="O43" s="605">
        <v>26.532</v>
      </c>
      <c r="P43" s="582"/>
      <c r="Q43" s="583"/>
      <c r="R43" s="584"/>
      <c r="S43" s="527" t="s">
        <v>15</v>
      </c>
      <c r="T43" s="546"/>
      <c r="U43" s="111"/>
    </row>
    <row r="44" spans="1:20" ht="12.75">
      <c r="A44" s="345"/>
      <c r="B44" s="413"/>
      <c r="C44" s="423" t="s">
        <v>72</v>
      </c>
      <c r="D44" s="571"/>
      <c r="E44" s="572"/>
      <c r="F44" s="572"/>
      <c r="G44" s="581"/>
      <c r="H44" s="579">
        <v>116.75711111111112</v>
      </c>
      <c r="I44" s="576">
        <v>0.009055555555555555</v>
      </c>
      <c r="J44" s="576">
        <v>5.555555555555556E-05</v>
      </c>
      <c r="K44" s="533">
        <f>H44*$G$9+I44*$G$10+J44*$G$11</f>
        <v>116.98183333333334</v>
      </c>
      <c r="L44" s="571"/>
      <c r="M44" s="576">
        <v>1.0155999999999998</v>
      </c>
      <c r="N44" s="572"/>
      <c r="O44" s="605">
        <v>9.234</v>
      </c>
      <c r="P44" s="582"/>
      <c r="Q44" s="583"/>
      <c r="R44" s="584"/>
      <c r="S44" s="527" t="s">
        <v>15</v>
      </c>
      <c r="T44" s="527"/>
    </row>
    <row r="45" spans="1:20" ht="12.75">
      <c r="A45" s="345"/>
      <c r="B45" s="413"/>
      <c r="C45" s="423" t="s">
        <v>61</v>
      </c>
      <c r="D45" s="571"/>
      <c r="E45" s="572"/>
      <c r="F45" s="572"/>
      <c r="G45" s="581"/>
      <c r="H45" s="571"/>
      <c r="I45" s="572"/>
      <c r="J45" s="572"/>
      <c r="K45" s="581"/>
      <c r="L45" s="571"/>
      <c r="M45" s="572"/>
      <c r="N45" s="572"/>
      <c r="O45" s="606">
        <v>18.5</v>
      </c>
      <c r="P45" s="582"/>
      <c r="Q45" s="583"/>
      <c r="R45" s="584"/>
      <c r="S45" s="527" t="s">
        <v>15</v>
      </c>
      <c r="T45" s="527"/>
    </row>
    <row r="46" spans="1:20" ht="12.75">
      <c r="A46" s="345"/>
      <c r="B46" s="415"/>
      <c r="C46" s="423" t="s">
        <v>76</v>
      </c>
      <c r="D46" s="571"/>
      <c r="E46" s="572"/>
      <c r="F46" s="572"/>
      <c r="G46" s="581"/>
      <c r="H46" s="571"/>
      <c r="I46" s="572"/>
      <c r="J46" s="572"/>
      <c r="K46" s="581"/>
      <c r="L46" s="571"/>
      <c r="M46" s="572"/>
      <c r="N46" s="572"/>
      <c r="O46" s="605">
        <v>24</v>
      </c>
      <c r="P46" s="582"/>
      <c r="Q46" s="583"/>
      <c r="R46" s="584"/>
      <c r="S46" s="527" t="s">
        <v>15</v>
      </c>
      <c r="T46" s="527"/>
    </row>
    <row r="47" spans="1:20" ht="12.75">
      <c r="A47" s="345"/>
      <c r="B47" s="415"/>
      <c r="C47" s="423" t="s">
        <v>36</v>
      </c>
      <c r="D47" s="571"/>
      <c r="E47" s="572"/>
      <c r="F47" s="572"/>
      <c r="G47" s="581"/>
      <c r="H47" s="571"/>
      <c r="I47" s="572"/>
      <c r="J47" s="572"/>
      <c r="K47" s="581"/>
      <c r="L47" s="571"/>
      <c r="M47" s="572"/>
      <c r="N47" s="572"/>
      <c r="O47" s="606">
        <v>26.4</v>
      </c>
      <c r="P47" s="582"/>
      <c r="Q47" s="583"/>
      <c r="R47" s="584"/>
      <c r="S47" s="527" t="s">
        <v>15</v>
      </c>
      <c r="T47" s="527"/>
    </row>
    <row r="48" spans="1:20" ht="12.75">
      <c r="A48" s="345"/>
      <c r="B48" s="415"/>
      <c r="C48" s="423" t="s">
        <v>75</v>
      </c>
      <c r="D48" s="571"/>
      <c r="E48" s="572"/>
      <c r="F48" s="572"/>
      <c r="G48" s="581"/>
      <c r="H48" s="571"/>
      <c r="I48" s="572"/>
      <c r="J48" s="572"/>
      <c r="K48" s="581"/>
      <c r="L48" s="571"/>
      <c r="M48" s="572"/>
      <c r="N48" s="572"/>
      <c r="O48" s="605">
        <v>23.529411764705884</v>
      </c>
      <c r="P48" s="582"/>
      <c r="Q48" s="583"/>
      <c r="R48" s="584"/>
      <c r="S48" s="527" t="s">
        <v>15</v>
      </c>
      <c r="T48" s="527"/>
    </row>
    <row r="49" spans="1:20" ht="12.75">
      <c r="A49" s="345"/>
      <c r="B49" s="415"/>
      <c r="C49" s="423" t="s">
        <v>133</v>
      </c>
      <c r="D49" s="571"/>
      <c r="E49" s="572"/>
      <c r="F49" s="572"/>
      <c r="G49" s="581"/>
      <c r="H49" s="571"/>
      <c r="I49" s="572"/>
      <c r="J49" s="572"/>
      <c r="K49" s="581"/>
      <c r="L49" s="571"/>
      <c r="M49" s="572"/>
      <c r="N49" s="572"/>
      <c r="O49" s="605">
        <v>16.3</v>
      </c>
      <c r="P49" s="582"/>
      <c r="Q49" s="583"/>
      <c r="R49" s="584"/>
      <c r="S49" s="527" t="s">
        <v>15</v>
      </c>
      <c r="T49" s="527"/>
    </row>
    <row r="50" spans="1:20" ht="12.75">
      <c r="A50" s="345"/>
      <c r="B50" s="415"/>
      <c r="C50" s="423" t="s">
        <v>45</v>
      </c>
      <c r="D50" s="571"/>
      <c r="E50" s="572"/>
      <c r="F50" s="572"/>
      <c r="G50" s="581"/>
      <c r="H50" s="571"/>
      <c r="I50" s="572"/>
      <c r="J50" s="572"/>
      <c r="K50" s="581"/>
      <c r="L50" s="571"/>
      <c r="M50" s="572"/>
      <c r="N50" s="572"/>
      <c r="O50" s="606">
        <v>19.6</v>
      </c>
      <c r="P50" s="582"/>
      <c r="Q50" s="583"/>
      <c r="R50" s="584"/>
      <c r="S50" s="527" t="s">
        <v>15</v>
      </c>
      <c r="T50" s="527"/>
    </row>
    <row r="51" spans="1:20" ht="12.75">
      <c r="A51" s="345"/>
      <c r="B51" s="415"/>
      <c r="C51" s="423" t="s">
        <v>134</v>
      </c>
      <c r="D51" s="571"/>
      <c r="E51" s="572"/>
      <c r="F51" s="572"/>
      <c r="G51" s="581"/>
      <c r="H51" s="571"/>
      <c r="I51" s="572"/>
      <c r="J51" s="572"/>
      <c r="K51" s="581"/>
      <c r="L51" s="571"/>
      <c r="M51" s="572"/>
      <c r="N51" s="572"/>
      <c r="O51" s="606">
        <v>26.4</v>
      </c>
      <c r="P51" s="582"/>
      <c r="Q51" s="583"/>
      <c r="R51" s="584"/>
      <c r="S51" s="527" t="s">
        <v>15</v>
      </c>
      <c r="T51" s="527"/>
    </row>
    <row r="52" spans="1:20" ht="12.75">
      <c r="A52" s="345"/>
      <c r="B52" s="415"/>
      <c r="C52" s="423" t="s">
        <v>67</v>
      </c>
      <c r="D52" s="571"/>
      <c r="E52" s="572"/>
      <c r="F52" s="572"/>
      <c r="G52" s="581"/>
      <c r="H52" s="571"/>
      <c r="I52" s="572"/>
      <c r="J52" s="572"/>
      <c r="K52" s="581"/>
      <c r="L52" s="571"/>
      <c r="M52" s="572"/>
      <c r="N52" s="572"/>
      <c r="O52" s="605">
        <v>17</v>
      </c>
      <c r="P52" s="582"/>
      <c r="Q52" s="583"/>
      <c r="R52" s="584"/>
      <c r="S52" s="527" t="s">
        <v>15</v>
      </c>
      <c r="T52" s="527"/>
    </row>
    <row r="53" spans="1:20" ht="12.75">
      <c r="A53" s="345"/>
      <c r="B53" s="415"/>
      <c r="C53" s="423" t="s">
        <v>79</v>
      </c>
      <c r="D53" s="571"/>
      <c r="E53" s="572"/>
      <c r="F53" s="572"/>
      <c r="G53" s="581"/>
      <c r="H53" s="571"/>
      <c r="I53" s="572"/>
      <c r="J53" s="572"/>
      <c r="K53" s="581"/>
      <c r="L53" s="571"/>
      <c r="M53" s="572"/>
      <c r="N53" s="572"/>
      <c r="O53" s="606">
        <v>37.1</v>
      </c>
      <c r="P53" s="582"/>
      <c r="Q53" s="583"/>
      <c r="R53" s="584"/>
      <c r="S53" s="527" t="s">
        <v>15</v>
      </c>
      <c r="T53" s="527"/>
    </row>
    <row r="54" spans="1:20" ht="12.75">
      <c r="A54" s="345"/>
      <c r="B54" s="415"/>
      <c r="C54" s="423" t="s">
        <v>135</v>
      </c>
      <c r="D54" s="571"/>
      <c r="E54" s="572"/>
      <c r="F54" s="572"/>
      <c r="G54" s="581"/>
      <c r="H54" s="571"/>
      <c r="I54" s="572"/>
      <c r="J54" s="572"/>
      <c r="K54" s="581"/>
      <c r="L54" s="571"/>
      <c r="M54" s="572"/>
      <c r="N54" s="572"/>
      <c r="O54" s="606">
        <v>21.8</v>
      </c>
      <c r="P54" s="582"/>
      <c r="Q54" s="583"/>
      <c r="R54" s="584"/>
      <c r="S54" s="527" t="s">
        <v>15</v>
      </c>
      <c r="T54" s="527"/>
    </row>
    <row r="55" spans="1:20" ht="12.75">
      <c r="A55" s="345"/>
      <c r="B55" s="415"/>
      <c r="C55" s="423" t="s">
        <v>73</v>
      </c>
      <c r="D55" s="571"/>
      <c r="E55" s="572"/>
      <c r="F55" s="572"/>
      <c r="G55" s="581"/>
      <c r="H55" s="571"/>
      <c r="I55" s="572"/>
      <c r="J55" s="572"/>
      <c r="K55" s="581"/>
      <c r="L55" s="571"/>
      <c r="M55" s="572"/>
      <c r="N55" s="572"/>
      <c r="O55" s="605">
        <v>36</v>
      </c>
      <c r="P55" s="582"/>
      <c r="Q55" s="583"/>
      <c r="R55" s="584"/>
      <c r="S55" s="527" t="s">
        <v>15</v>
      </c>
      <c r="T55" s="527"/>
    </row>
    <row r="56" spans="1:20" ht="12.75">
      <c r="A56" s="345"/>
      <c r="B56" s="415"/>
      <c r="C56" s="423" t="s">
        <v>44</v>
      </c>
      <c r="D56" s="571"/>
      <c r="E56" s="572"/>
      <c r="F56" s="572"/>
      <c r="G56" s="581"/>
      <c r="H56" s="571"/>
      <c r="I56" s="572"/>
      <c r="J56" s="572"/>
      <c r="K56" s="581"/>
      <c r="L56" s="571"/>
      <c r="M56" s="572"/>
      <c r="N56" s="572"/>
      <c r="O56" s="605">
        <v>16</v>
      </c>
      <c r="P56" s="582"/>
      <c r="Q56" s="583"/>
      <c r="R56" s="584"/>
      <c r="S56" s="527" t="s">
        <v>15</v>
      </c>
      <c r="T56" s="527"/>
    </row>
    <row r="57" spans="1:20" ht="12.75">
      <c r="A57" s="345"/>
      <c r="B57" s="415"/>
      <c r="C57" s="423" t="s">
        <v>71</v>
      </c>
      <c r="D57" s="571"/>
      <c r="E57" s="572"/>
      <c r="F57" s="572"/>
      <c r="G57" s="581"/>
      <c r="H57" s="571"/>
      <c r="I57" s="572"/>
      <c r="J57" s="572"/>
      <c r="K57" s="581"/>
      <c r="L57" s="571"/>
      <c r="M57" s="572"/>
      <c r="N57" s="572"/>
      <c r="O57" s="605">
        <v>16</v>
      </c>
      <c r="P57" s="582"/>
      <c r="Q57" s="583"/>
      <c r="R57" s="584"/>
      <c r="S57" s="527" t="s">
        <v>15</v>
      </c>
      <c r="T57" s="527"/>
    </row>
    <row r="58" spans="1:20" ht="12.75">
      <c r="A58" s="345"/>
      <c r="B58" s="415"/>
      <c r="C58" s="423" t="s">
        <v>78</v>
      </c>
      <c r="D58" s="571"/>
      <c r="E58" s="572"/>
      <c r="F58" s="572"/>
      <c r="G58" s="581"/>
      <c r="H58" s="571"/>
      <c r="I58" s="572"/>
      <c r="J58" s="572"/>
      <c r="K58" s="581"/>
      <c r="L58" s="571"/>
      <c r="M58" s="572"/>
      <c r="N58" s="572"/>
      <c r="O58" s="605">
        <v>17</v>
      </c>
      <c r="P58" s="582"/>
      <c r="Q58" s="583"/>
      <c r="R58" s="584"/>
      <c r="S58" s="527" t="s">
        <v>15</v>
      </c>
      <c r="T58" s="527"/>
    </row>
    <row r="59" spans="1:20" ht="12.75">
      <c r="A59" s="345"/>
      <c r="B59" s="415"/>
      <c r="C59" s="423" t="s">
        <v>77</v>
      </c>
      <c r="D59" s="571"/>
      <c r="E59" s="572"/>
      <c r="F59" s="572"/>
      <c r="G59" s="581"/>
      <c r="H59" s="571"/>
      <c r="I59" s="572"/>
      <c r="J59" s="572"/>
      <c r="K59" s="581"/>
      <c r="L59" s="571"/>
      <c r="M59" s="572"/>
      <c r="N59" s="572"/>
      <c r="O59" s="605">
        <v>37</v>
      </c>
      <c r="P59" s="582"/>
      <c r="Q59" s="583"/>
      <c r="R59" s="584"/>
      <c r="S59" s="527" t="s">
        <v>15</v>
      </c>
      <c r="T59" s="527"/>
    </row>
    <row r="60" spans="1:20" ht="12.75">
      <c r="A60" s="345"/>
      <c r="B60" s="415"/>
      <c r="C60" s="426" t="s">
        <v>136</v>
      </c>
      <c r="D60" s="571"/>
      <c r="E60" s="572"/>
      <c r="F60" s="572"/>
      <c r="G60" s="581"/>
      <c r="H60" s="571"/>
      <c r="I60" s="572"/>
      <c r="J60" s="572"/>
      <c r="K60" s="581"/>
      <c r="L60" s="571"/>
      <c r="M60" s="572"/>
      <c r="N60" s="572"/>
      <c r="O60" s="605">
        <v>18.65</v>
      </c>
      <c r="P60" s="582"/>
      <c r="Q60" s="583"/>
      <c r="R60" s="584"/>
      <c r="S60" s="527" t="s">
        <v>15</v>
      </c>
      <c r="T60" s="527"/>
    </row>
    <row r="61" spans="1:20" ht="12.75">
      <c r="A61" s="345"/>
      <c r="B61" s="415"/>
      <c r="C61" s="423" t="s">
        <v>74</v>
      </c>
      <c r="D61" s="571"/>
      <c r="E61" s="572"/>
      <c r="F61" s="572"/>
      <c r="G61" s="581"/>
      <c r="H61" s="571"/>
      <c r="I61" s="572"/>
      <c r="J61" s="572"/>
      <c r="K61" s="581"/>
      <c r="L61" s="571"/>
      <c r="M61" s="572"/>
      <c r="N61" s="572"/>
      <c r="O61" s="606">
        <v>36.6</v>
      </c>
      <c r="P61" s="582"/>
      <c r="Q61" s="583"/>
      <c r="R61" s="584"/>
      <c r="S61" s="527" t="s">
        <v>15</v>
      </c>
      <c r="T61" s="527"/>
    </row>
    <row r="62" spans="1:20" ht="12.75">
      <c r="A62" s="345"/>
      <c r="B62" s="415"/>
      <c r="C62" s="426" t="s">
        <v>137</v>
      </c>
      <c r="D62" s="571"/>
      <c r="E62" s="572"/>
      <c r="F62" s="572"/>
      <c r="G62" s="581"/>
      <c r="H62" s="571"/>
      <c r="I62" s="572"/>
      <c r="J62" s="572"/>
      <c r="K62" s="581"/>
      <c r="L62" s="571"/>
      <c r="M62" s="572"/>
      <c r="N62" s="572"/>
      <c r="O62" s="607" t="s">
        <v>421</v>
      </c>
      <c r="P62" s="582"/>
      <c r="Q62" s="583"/>
      <c r="R62" s="584"/>
      <c r="S62" s="527" t="s">
        <v>15</v>
      </c>
      <c r="T62" s="546" t="s">
        <v>422</v>
      </c>
    </row>
    <row r="63" spans="1:20" ht="12.75">
      <c r="A63" s="345"/>
      <c r="B63" s="415"/>
      <c r="C63" s="423" t="s">
        <v>138</v>
      </c>
      <c r="D63" s="571"/>
      <c r="E63" s="572"/>
      <c r="F63" s="572"/>
      <c r="G63" s="581"/>
      <c r="H63" s="571"/>
      <c r="I63" s="572"/>
      <c r="J63" s="572"/>
      <c r="K63" s="581"/>
      <c r="L63" s="571"/>
      <c r="M63" s="572"/>
      <c r="N63" s="572"/>
      <c r="O63" s="606">
        <v>15.6</v>
      </c>
      <c r="P63" s="582"/>
      <c r="Q63" s="583"/>
      <c r="R63" s="584"/>
      <c r="S63" s="527" t="s">
        <v>15</v>
      </c>
      <c r="T63" s="527"/>
    </row>
    <row r="64" spans="1:20" ht="12.75">
      <c r="A64" s="345"/>
      <c r="B64" s="415"/>
      <c r="C64" s="423" t="s">
        <v>139</v>
      </c>
      <c r="D64" s="571"/>
      <c r="E64" s="572"/>
      <c r="F64" s="572"/>
      <c r="G64" s="581"/>
      <c r="H64" s="571"/>
      <c r="I64" s="572"/>
      <c r="J64" s="572"/>
      <c r="K64" s="581"/>
      <c r="L64" s="571"/>
      <c r="M64" s="572"/>
      <c r="N64" s="572"/>
      <c r="O64" s="606">
        <v>15.6</v>
      </c>
      <c r="P64" s="582"/>
      <c r="Q64" s="583"/>
      <c r="R64" s="584"/>
      <c r="S64" s="527" t="s">
        <v>15</v>
      </c>
      <c r="T64" s="527"/>
    </row>
    <row r="65" spans="1:20" ht="12.75">
      <c r="A65" s="345"/>
      <c r="B65" s="415"/>
      <c r="C65" s="423" t="s">
        <v>43</v>
      </c>
      <c r="D65" s="571"/>
      <c r="E65" s="572"/>
      <c r="F65" s="572"/>
      <c r="G65" s="581"/>
      <c r="H65" s="579">
        <v>1.7515833333333333</v>
      </c>
      <c r="I65" s="576">
        <v>0.0013333333333333333</v>
      </c>
      <c r="J65" s="576">
        <v>5.555555555555556E-05</v>
      </c>
      <c r="K65" s="533">
        <f>H65*$G$9+I65*$G$10+J65*$G$11</f>
        <v>1.7986944444444444</v>
      </c>
      <c r="L65" s="571"/>
      <c r="M65" s="576">
        <v>0.025400000000000002</v>
      </c>
      <c r="N65" s="572"/>
      <c r="O65" s="606">
        <v>17.2</v>
      </c>
      <c r="P65" s="582"/>
      <c r="Q65" s="583"/>
      <c r="R65" s="584"/>
      <c r="S65" s="527" t="s">
        <v>15</v>
      </c>
      <c r="T65" s="546" t="s">
        <v>16</v>
      </c>
    </row>
    <row r="66" spans="1:20" ht="12.75">
      <c r="A66" s="345"/>
      <c r="B66" s="415"/>
      <c r="C66" s="423"/>
      <c r="D66" s="521"/>
      <c r="E66" s="522"/>
      <c r="F66" s="530"/>
      <c r="G66" s="543"/>
      <c r="H66" s="521"/>
      <c r="I66" s="522"/>
      <c r="J66" s="530"/>
      <c r="K66" s="543"/>
      <c r="L66" s="521"/>
      <c r="M66" s="522"/>
      <c r="N66" s="530"/>
      <c r="O66" s="543"/>
      <c r="P66" s="525"/>
      <c r="Q66" s="523"/>
      <c r="R66" s="524"/>
      <c r="S66" s="527"/>
      <c r="T66" s="527"/>
    </row>
    <row r="67" spans="1:20" ht="12.75">
      <c r="A67" s="409"/>
      <c r="B67" s="413" t="s">
        <v>140</v>
      </c>
      <c r="C67" s="423"/>
      <c r="D67" s="521"/>
      <c r="E67" s="522"/>
      <c r="F67" s="522"/>
      <c r="G67" s="543"/>
      <c r="H67" s="521"/>
      <c r="I67" s="522"/>
      <c r="J67" s="522"/>
      <c r="K67" s="543"/>
      <c r="L67" s="521"/>
      <c r="M67" s="522"/>
      <c r="N67" s="522"/>
      <c r="O67" s="543"/>
      <c r="P67" s="525"/>
      <c r="Q67" s="523"/>
      <c r="R67" s="524"/>
      <c r="S67" s="527"/>
      <c r="T67" s="527"/>
    </row>
    <row r="68" spans="1:20" ht="12.75">
      <c r="A68" s="345"/>
      <c r="B68" s="413"/>
      <c r="C68" s="423" t="s">
        <v>237</v>
      </c>
      <c r="D68" s="587"/>
      <c r="E68" s="588"/>
      <c r="F68" s="588"/>
      <c r="G68" s="589"/>
      <c r="H68" s="579">
        <v>119.36216666666667</v>
      </c>
      <c r="I68" s="576">
        <v>0.29108333333333336</v>
      </c>
      <c r="J68" s="576">
        <v>0.005388888888888889</v>
      </c>
      <c r="K68" s="533">
        <f>H68*$G$9+I68*$G$10+J68*$G$11</f>
        <v>127.65219444444445</v>
      </c>
      <c r="L68" s="587"/>
      <c r="M68" s="576">
        <v>2.6951</v>
      </c>
      <c r="N68" s="588"/>
      <c r="O68" s="589"/>
      <c r="P68" s="582"/>
      <c r="Q68" s="583"/>
      <c r="R68" s="584"/>
      <c r="S68" s="527" t="s">
        <v>15</v>
      </c>
      <c r="T68" s="527"/>
    </row>
    <row r="69" spans="1:20" ht="12.75">
      <c r="A69" s="345"/>
      <c r="B69" s="413"/>
      <c r="C69" s="423" t="s">
        <v>236</v>
      </c>
      <c r="D69" s="587"/>
      <c r="E69" s="588"/>
      <c r="F69" s="588"/>
      <c r="G69" s="589"/>
      <c r="H69" s="579">
        <v>120.7945</v>
      </c>
      <c r="I69" s="576">
        <v>0.2945833333333333</v>
      </c>
      <c r="J69" s="576">
        <v>0.005472222222222222</v>
      </c>
      <c r="K69" s="533">
        <f>H69*$G$9+I69*$G$10+J69*$G$11</f>
        <v>129.18969444444446</v>
      </c>
      <c r="L69" s="587"/>
      <c r="M69" s="576">
        <v>2.7275</v>
      </c>
      <c r="N69" s="588"/>
      <c r="O69" s="589"/>
      <c r="P69" s="582"/>
      <c r="Q69" s="583"/>
      <c r="R69" s="584"/>
      <c r="S69" s="527" t="s">
        <v>15</v>
      </c>
      <c r="T69" s="527"/>
    </row>
    <row r="70" spans="1:20" ht="12.75">
      <c r="A70" s="345"/>
      <c r="B70" s="415"/>
      <c r="C70" s="423"/>
      <c r="D70" s="521"/>
      <c r="E70" s="522"/>
      <c r="F70" s="522"/>
      <c r="G70" s="543"/>
      <c r="H70" s="521"/>
      <c r="I70" s="522"/>
      <c r="J70" s="522"/>
      <c r="K70" s="533"/>
      <c r="L70" s="521"/>
      <c r="M70" s="522"/>
      <c r="N70" s="522"/>
      <c r="O70" s="543"/>
      <c r="P70" s="525"/>
      <c r="Q70" s="523"/>
      <c r="R70" s="524"/>
      <c r="S70" s="527"/>
      <c r="T70" s="527"/>
    </row>
    <row r="71" spans="1:20" ht="12.75">
      <c r="A71" s="409"/>
      <c r="B71" s="413" t="s">
        <v>141</v>
      </c>
      <c r="C71" s="423"/>
      <c r="D71" s="521"/>
      <c r="E71" s="522"/>
      <c r="F71" s="522"/>
      <c r="G71" s="531"/>
      <c r="H71" s="521"/>
      <c r="I71" s="522"/>
      <c r="J71" s="522"/>
      <c r="K71" s="533"/>
      <c r="L71" s="521"/>
      <c r="M71" s="522"/>
      <c r="N71" s="522"/>
      <c r="O71" s="531"/>
      <c r="P71" s="525"/>
      <c r="Q71" s="523"/>
      <c r="R71" s="524"/>
      <c r="S71" s="527"/>
      <c r="T71" s="527"/>
    </row>
    <row r="72" spans="1:20" ht="12.75" customHeight="1">
      <c r="A72" s="345"/>
      <c r="B72" s="413"/>
      <c r="C72" s="424" t="s">
        <v>142</v>
      </c>
      <c r="D72" s="571"/>
      <c r="E72" s="572"/>
      <c r="F72" s="572"/>
      <c r="G72" s="581"/>
      <c r="H72" s="579">
        <v>80.08333333333333</v>
      </c>
      <c r="I72" s="576">
        <v>0.014555555555555556</v>
      </c>
      <c r="J72" s="576">
        <v>0.0002777777777777778</v>
      </c>
      <c r="K72" s="533">
        <f>H72*$G$9+I72*$G$10+J72*$G$11</f>
        <v>80.50033333333333</v>
      </c>
      <c r="L72" s="579">
        <v>14.450849000000002</v>
      </c>
      <c r="M72" s="588"/>
      <c r="N72" s="588"/>
      <c r="O72" s="589"/>
      <c r="P72" s="582"/>
      <c r="Q72" s="583"/>
      <c r="R72" s="584"/>
      <c r="S72" s="527" t="s">
        <v>15</v>
      </c>
      <c r="T72" s="547"/>
    </row>
    <row r="73" spans="1:20" ht="14.25">
      <c r="A73" s="345"/>
      <c r="B73" s="413"/>
      <c r="C73" s="424" t="s">
        <v>231</v>
      </c>
      <c r="D73" s="574">
        <v>2776</v>
      </c>
      <c r="E73" s="575">
        <v>8.9268</v>
      </c>
      <c r="F73" s="576">
        <v>0.1028</v>
      </c>
      <c r="G73" s="548">
        <f aca="true" t="shared" si="0" ref="G73:G78">D73*$G$9+E73*$G$10+F73*$G$11</f>
        <v>3011.7452000000003</v>
      </c>
      <c r="H73" s="571"/>
      <c r="I73" s="572"/>
      <c r="J73" s="572"/>
      <c r="K73" s="581"/>
      <c r="L73" s="579">
        <v>28.570320000000002</v>
      </c>
      <c r="M73" s="588"/>
      <c r="N73" s="588"/>
      <c r="O73" s="589"/>
      <c r="P73" s="582"/>
      <c r="Q73" s="583"/>
      <c r="R73" s="584"/>
      <c r="S73" s="527" t="s">
        <v>15</v>
      </c>
      <c r="T73" s="547"/>
    </row>
    <row r="74" spans="1:20" ht="12.75">
      <c r="A74" s="345"/>
      <c r="B74" s="413"/>
      <c r="C74" s="424" t="s">
        <v>277</v>
      </c>
      <c r="D74" s="574">
        <v>197</v>
      </c>
      <c r="E74" s="575">
        <v>0.0373</v>
      </c>
      <c r="F74" s="576">
        <v>0.0063</v>
      </c>
      <c r="G74" s="548">
        <f t="shared" si="0"/>
        <v>199.7227</v>
      </c>
      <c r="H74" s="571"/>
      <c r="I74" s="572"/>
      <c r="J74" s="572"/>
      <c r="K74" s="581"/>
      <c r="L74" s="579">
        <v>2.5405200000000003</v>
      </c>
      <c r="M74" s="588"/>
      <c r="N74" s="588"/>
      <c r="O74" s="589"/>
      <c r="P74" s="582"/>
      <c r="Q74" s="583"/>
      <c r="R74" s="584"/>
      <c r="S74" s="527" t="s">
        <v>15</v>
      </c>
      <c r="T74" s="547"/>
    </row>
    <row r="75" spans="1:20" ht="12.75">
      <c r="A75" s="345"/>
      <c r="B75" s="413"/>
      <c r="C75" s="424" t="s">
        <v>143</v>
      </c>
      <c r="D75" s="574">
        <v>717.378</v>
      </c>
      <c r="E75" s="575">
        <v>1.129</v>
      </c>
      <c r="F75" s="576">
        <v>0.0254</v>
      </c>
      <c r="G75" s="548">
        <f t="shared" si="0"/>
        <v>750.8634000000001</v>
      </c>
      <c r="H75" s="571"/>
      <c r="I75" s="572"/>
      <c r="J75" s="572"/>
      <c r="K75" s="581"/>
      <c r="L75" s="579">
        <v>15.4334952</v>
      </c>
      <c r="M75" s="588"/>
      <c r="N75" s="588"/>
      <c r="O75" s="589"/>
      <c r="P75" s="582"/>
      <c r="Q75" s="583"/>
      <c r="R75" s="584"/>
      <c r="S75" s="527" t="s">
        <v>15</v>
      </c>
      <c r="T75" s="547"/>
    </row>
    <row r="76" spans="1:20" ht="14.25">
      <c r="A76" s="345"/>
      <c r="B76" s="413"/>
      <c r="C76" s="424" t="s">
        <v>232</v>
      </c>
      <c r="D76" s="574">
        <v>1046</v>
      </c>
      <c r="E76" s="575">
        <v>6.2</v>
      </c>
      <c r="F76" s="576">
        <v>0.0055</v>
      </c>
      <c r="G76" s="548">
        <f t="shared" si="0"/>
        <v>1190.2279999999998</v>
      </c>
      <c r="H76" s="571"/>
      <c r="I76" s="572"/>
      <c r="J76" s="572"/>
      <c r="K76" s="581"/>
      <c r="L76" s="579">
        <v>13.785480000000002</v>
      </c>
      <c r="M76" s="588"/>
      <c r="N76" s="588"/>
      <c r="O76" s="589"/>
      <c r="P76" s="582"/>
      <c r="Q76" s="583"/>
      <c r="R76" s="584"/>
      <c r="S76" s="527" t="s">
        <v>15</v>
      </c>
      <c r="T76" s="547"/>
    </row>
    <row r="77" spans="1:20" ht="12.75">
      <c r="A77" s="345"/>
      <c r="B77" s="413"/>
      <c r="C77" s="424" t="s">
        <v>144</v>
      </c>
      <c r="D77" s="574">
        <v>438.4932</v>
      </c>
      <c r="E77" s="575">
        <v>1.0301</v>
      </c>
      <c r="F77" s="576">
        <v>0.024</v>
      </c>
      <c r="G77" s="548">
        <f t="shared" si="0"/>
        <v>469.2895</v>
      </c>
      <c r="H77" s="571"/>
      <c r="I77" s="572"/>
      <c r="J77" s="572"/>
      <c r="K77" s="581"/>
      <c r="L77" s="579">
        <v>10.2204</v>
      </c>
      <c r="M77" s="588"/>
      <c r="N77" s="588"/>
      <c r="O77" s="589"/>
      <c r="P77" s="582"/>
      <c r="Q77" s="583"/>
      <c r="R77" s="584"/>
      <c r="S77" s="527" t="s">
        <v>15</v>
      </c>
      <c r="T77" s="547"/>
    </row>
    <row r="78" spans="1:20" ht="12.75">
      <c r="A78" s="345"/>
      <c r="B78" s="413"/>
      <c r="C78" s="424" t="s">
        <v>145</v>
      </c>
      <c r="D78" s="574">
        <v>0</v>
      </c>
      <c r="E78" s="575">
        <v>0</v>
      </c>
      <c r="F78" s="576">
        <v>0</v>
      </c>
      <c r="G78" s="528">
        <f t="shared" si="0"/>
        <v>0</v>
      </c>
      <c r="H78" s="571"/>
      <c r="I78" s="572"/>
      <c r="J78" s="572"/>
      <c r="K78" s="581"/>
      <c r="L78" s="579">
        <v>0</v>
      </c>
      <c r="M78" s="588"/>
      <c r="N78" s="588"/>
      <c r="O78" s="589"/>
      <c r="P78" s="582"/>
      <c r="Q78" s="583"/>
      <c r="R78" s="584"/>
      <c r="S78" s="527"/>
      <c r="T78" s="547" t="s">
        <v>423</v>
      </c>
    </row>
    <row r="79" spans="1:20" ht="12.75">
      <c r="A79" s="345"/>
      <c r="B79" s="413"/>
      <c r="C79" s="424" t="s">
        <v>146</v>
      </c>
      <c r="D79" s="587"/>
      <c r="E79" s="588"/>
      <c r="F79" s="588"/>
      <c r="G79" s="589"/>
      <c r="H79" s="579">
        <v>80.86847222222222</v>
      </c>
      <c r="I79" s="576">
        <v>0.27647222222222223</v>
      </c>
      <c r="J79" s="576">
        <v>0.00030555555555555555</v>
      </c>
      <c r="K79" s="533">
        <f>H79*$G$9+I79*$G$10+J79*$G$11</f>
        <v>87.31777777777778</v>
      </c>
      <c r="L79" s="587"/>
      <c r="M79" s="576">
        <v>1.4835</v>
      </c>
      <c r="N79" s="588"/>
      <c r="O79" s="589"/>
      <c r="P79" s="582"/>
      <c r="Q79" s="583"/>
      <c r="R79" s="584"/>
      <c r="S79" s="527" t="s">
        <v>15</v>
      </c>
      <c r="T79" s="547"/>
    </row>
    <row r="80" spans="1:20" ht="12.75">
      <c r="A80" s="345"/>
      <c r="B80" s="413"/>
      <c r="C80" s="423" t="s">
        <v>47</v>
      </c>
      <c r="D80" s="574">
        <v>1013</v>
      </c>
      <c r="E80" s="575">
        <v>0.649</v>
      </c>
      <c r="F80" s="576">
        <v>0.0076</v>
      </c>
      <c r="G80" s="528">
        <f>D80*$G$9+E80*$G$10+F80*$G$11</f>
        <v>1030.1766</v>
      </c>
      <c r="H80" s="571"/>
      <c r="I80" s="572"/>
      <c r="J80" s="572"/>
      <c r="K80" s="581"/>
      <c r="L80" s="579">
        <v>4.597919999999999</v>
      </c>
      <c r="M80" s="588"/>
      <c r="N80" s="588"/>
      <c r="O80" s="589"/>
      <c r="P80" s="582"/>
      <c r="Q80" s="583"/>
      <c r="R80" s="584"/>
      <c r="S80" s="527" t="s">
        <v>15</v>
      </c>
      <c r="T80" s="547"/>
    </row>
    <row r="81" spans="1:20" ht="14.25">
      <c r="A81" s="345"/>
      <c r="B81" s="413"/>
      <c r="C81" s="423" t="s">
        <v>233</v>
      </c>
      <c r="D81" s="574">
        <v>193.8502</v>
      </c>
      <c r="E81" s="575">
        <v>0.5457</v>
      </c>
      <c r="F81" s="576">
        <v>0.0045</v>
      </c>
      <c r="G81" s="528">
        <f>D81*$G$9+E81*$G$10+F81*$G$11</f>
        <v>207.73329999999999</v>
      </c>
      <c r="H81" s="571"/>
      <c r="I81" s="572"/>
      <c r="J81" s="572"/>
      <c r="K81" s="581"/>
      <c r="L81" s="579">
        <v>3.8959200000000003</v>
      </c>
      <c r="M81" s="588"/>
      <c r="N81" s="588"/>
      <c r="O81" s="589"/>
      <c r="P81" s="582"/>
      <c r="Q81" s="583"/>
      <c r="R81" s="584"/>
      <c r="S81" s="527" t="s">
        <v>15</v>
      </c>
      <c r="T81" s="547"/>
    </row>
    <row r="82" spans="1:20" ht="12.75">
      <c r="A82" s="345"/>
      <c r="B82" s="413"/>
      <c r="C82" s="423" t="s">
        <v>48</v>
      </c>
      <c r="D82" s="574">
        <v>2478.041</v>
      </c>
      <c r="E82" s="575">
        <v>7.836</v>
      </c>
      <c r="F82" s="576">
        <v>0.0087</v>
      </c>
      <c r="G82" s="528">
        <f>D82*$G$9+E82*$G$10+F82*$G$11</f>
        <v>2660.8442000000005</v>
      </c>
      <c r="H82" s="571"/>
      <c r="I82" s="572"/>
      <c r="J82" s="572"/>
      <c r="K82" s="581"/>
      <c r="L82" s="579">
        <v>44.38836</v>
      </c>
      <c r="M82" s="588"/>
      <c r="N82" s="588"/>
      <c r="O82" s="589"/>
      <c r="P82" s="582"/>
      <c r="Q82" s="583"/>
      <c r="R82" s="584"/>
      <c r="S82" s="527" t="s">
        <v>15</v>
      </c>
      <c r="T82" s="547"/>
    </row>
    <row r="83" spans="1:20" ht="12.75">
      <c r="A83" s="345"/>
      <c r="B83" s="413"/>
      <c r="C83" s="424" t="s">
        <v>278</v>
      </c>
      <c r="D83" s="574">
        <v>723</v>
      </c>
      <c r="E83" s="575">
        <v>0</v>
      </c>
      <c r="F83" s="576">
        <v>0</v>
      </c>
      <c r="G83" s="528">
        <f>D83*$G$9+E83*$G$10+F83*$G$11</f>
        <v>723</v>
      </c>
      <c r="H83" s="571"/>
      <c r="I83" s="572"/>
      <c r="J83" s="572"/>
      <c r="K83" s="581"/>
      <c r="L83" s="579">
        <v>53.1</v>
      </c>
      <c r="M83" s="588"/>
      <c r="N83" s="588"/>
      <c r="O83" s="589"/>
      <c r="P83" s="582"/>
      <c r="Q83" s="583"/>
      <c r="R83" s="584"/>
      <c r="S83" s="527" t="s">
        <v>15</v>
      </c>
      <c r="T83" s="547"/>
    </row>
    <row r="84" spans="1:20" ht="12.75">
      <c r="A84" s="345"/>
      <c r="B84" s="413"/>
      <c r="C84" s="424" t="s">
        <v>279</v>
      </c>
      <c r="D84" s="574">
        <v>947</v>
      </c>
      <c r="E84" s="575">
        <v>0</v>
      </c>
      <c r="F84" s="576">
        <v>0</v>
      </c>
      <c r="G84" s="528">
        <f>D84*$G$9+E84*$G$10+F84*$G$11</f>
        <v>947</v>
      </c>
      <c r="H84" s="571"/>
      <c r="I84" s="572"/>
      <c r="J84" s="572"/>
      <c r="K84" s="581"/>
      <c r="L84" s="579">
        <v>53.28</v>
      </c>
      <c r="M84" s="588"/>
      <c r="N84" s="588"/>
      <c r="O84" s="589"/>
      <c r="P84" s="582"/>
      <c r="Q84" s="583"/>
      <c r="R84" s="584"/>
      <c r="S84" s="527" t="s">
        <v>15</v>
      </c>
      <c r="T84" s="547"/>
    </row>
    <row r="85" spans="1:20" ht="12.75">
      <c r="A85" s="345"/>
      <c r="B85" s="415"/>
      <c r="C85" s="423"/>
      <c r="D85" s="521"/>
      <c r="E85" s="530"/>
      <c r="F85" s="522"/>
      <c r="G85" s="543"/>
      <c r="H85" s="521"/>
      <c r="I85" s="530"/>
      <c r="J85" s="522"/>
      <c r="K85" s="543"/>
      <c r="L85" s="521"/>
      <c r="M85" s="530"/>
      <c r="N85" s="522"/>
      <c r="O85" s="543"/>
      <c r="P85" s="525"/>
      <c r="Q85" s="523"/>
      <c r="R85" s="524"/>
      <c r="S85" s="527"/>
      <c r="T85" s="547"/>
    </row>
    <row r="86" spans="1:20" ht="12.75">
      <c r="A86" s="345"/>
      <c r="B86" s="413" t="s">
        <v>147</v>
      </c>
      <c r="C86" s="423"/>
      <c r="D86" s="521"/>
      <c r="E86" s="522"/>
      <c r="F86" s="522"/>
      <c r="G86" s="543"/>
      <c r="H86" s="521"/>
      <c r="I86" s="522"/>
      <c r="J86" s="522"/>
      <c r="K86" s="543"/>
      <c r="L86" s="521"/>
      <c r="M86" s="522"/>
      <c r="N86" s="522"/>
      <c r="O86" s="543"/>
      <c r="P86" s="534"/>
      <c r="Q86" s="549"/>
      <c r="R86" s="550"/>
      <c r="S86" s="527"/>
      <c r="T86" s="527"/>
    </row>
    <row r="87" spans="1:20" ht="12.75">
      <c r="A87" s="345"/>
      <c r="B87" s="415"/>
      <c r="C87" s="424" t="s">
        <v>148</v>
      </c>
      <c r="D87" s="587"/>
      <c r="E87" s="588"/>
      <c r="F87" s="588"/>
      <c r="G87" s="589"/>
      <c r="H87" s="587"/>
      <c r="I87" s="588"/>
      <c r="J87" s="588"/>
      <c r="K87" s="589"/>
      <c r="L87" s="587"/>
      <c r="M87" s="587"/>
      <c r="N87" s="587"/>
      <c r="O87" s="589"/>
      <c r="P87" s="579">
        <v>0.936</v>
      </c>
      <c r="Q87" s="595">
        <v>0.005</v>
      </c>
      <c r="R87" s="576">
        <v>0</v>
      </c>
      <c r="S87" s="527" t="s">
        <v>15</v>
      </c>
      <c r="T87" s="527"/>
    </row>
    <row r="88" spans="1:20" ht="12.75">
      <c r="A88" s="345"/>
      <c r="B88" s="415"/>
      <c r="C88" s="424" t="s">
        <v>249</v>
      </c>
      <c r="D88" s="587"/>
      <c r="E88" s="588"/>
      <c r="F88" s="588"/>
      <c r="G88" s="589"/>
      <c r="H88" s="587"/>
      <c r="I88" s="588"/>
      <c r="J88" s="588"/>
      <c r="K88" s="589"/>
      <c r="L88" s="587"/>
      <c r="M88" s="587"/>
      <c r="N88" s="587"/>
      <c r="O88" s="589"/>
      <c r="P88" s="579">
        <v>1.008</v>
      </c>
      <c r="Q88" s="595">
        <v>0.005</v>
      </c>
      <c r="R88" s="576">
        <v>0</v>
      </c>
      <c r="S88" s="527"/>
      <c r="T88" s="527" t="s">
        <v>250</v>
      </c>
    </row>
    <row r="89" spans="1:33" ht="12.75">
      <c r="A89" s="345"/>
      <c r="B89" s="415"/>
      <c r="C89" s="424" t="s">
        <v>149</v>
      </c>
      <c r="D89" s="587"/>
      <c r="E89" s="588"/>
      <c r="F89" s="588"/>
      <c r="G89" s="589"/>
      <c r="H89" s="587"/>
      <c r="I89" s="588"/>
      <c r="J89" s="588"/>
      <c r="K89" s="589"/>
      <c r="L89" s="587"/>
      <c r="M89" s="587"/>
      <c r="N89" s="587"/>
      <c r="O89" s="589"/>
      <c r="P89" s="579">
        <v>2.0122857142857145</v>
      </c>
      <c r="Q89" s="595">
        <v>0.005</v>
      </c>
      <c r="R89" s="576">
        <v>0</v>
      </c>
      <c r="S89" s="527" t="s">
        <v>15</v>
      </c>
      <c r="T89" s="547"/>
      <c r="U89"/>
      <c r="V89"/>
      <c r="W89"/>
      <c r="X89"/>
      <c r="Y89"/>
      <c r="Z89"/>
      <c r="AA89"/>
      <c r="AB89"/>
      <c r="AC89"/>
      <c r="AD89"/>
      <c r="AE89"/>
      <c r="AF89"/>
      <c r="AG89"/>
    </row>
    <row r="90" spans="1:33" ht="12.75">
      <c r="A90" s="345"/>
      <c r="B90" s="415"/>
      <c r="C90" s="424" t="s">
        <v>150</v>
      </c>
      <c r="D90" s="587"/>
      <c r="E90" s="588"/>
      <c r="F90" s="588"/>
      <c r="G90" s="589"/>
      <c r="H90" s="587"/>
      <c r="I90" s="588"/>
      <c r="J90" s="588"/>
      <c r="K90" s="589"/>
      <c r="L90" s="587"/>
      <c r="M90" s="587"/>
      <c r="N90" s="587"/>
      <c r="O90" s="589"/>
      <c r="P90" s="579">
        <v>0.20358</v>
      </c>
      <c r="Q90" s="595">
        <v>0.0003</v>
      </c>
      <c r="R90" s="576">
        <v>0.00072</v>
      </c>
      <c r="S90" s="527" t="s">
        <v>15</v>
      </c>
      <c r="T90" s="547"/>
      <c r="U90"/>
      <c r="V90"/>
      <c r="W90"/>
      <c r="X90"/>
      <c r="Y90"/>
      <c r="Z90"/>
      <c r="AA90"/>
      <c r="AB90"/>
      <c r="AC90"/>
      <c r="AD90"/>
      <c r="AE90"/>
      <c r="AF90"/>
      <c r="AG90"/>
    </row>
    <row r="91" spans="1:33" ht="12.75">
      <c r="A91" s="345"/>
      <c r="B91" s="415"/>
      <c r="C91" s="424" t="s">
        <v>151</v>
      </c>
      <c r="D91" s="587"/>
      <c r="E91" s="588"/>
      <c r="F91" s="588"/>
      <c r="G91" s="589"/>
      <c r="H91" s="587"/>
      <c r="I91" s="588"/>
      <c r="J91" s="588"/>
      <c r="K91" s="589"/>
      <c r="L91" s="587"/>
      <c r="M91" s="587"/>
      <c r="N91" s="587"/>
      <c r="O91" s="589"/>
      <c r="P91" s="579">
        <v>0.12384</v>
      </c>
      <c r="Q91" s="595">
        <v>0</v>
      </c>
      <c r="R91" s="576">
        <v>0</v>
      </c>
      <c r="S91" s="527" t="s">
        <v>15</v>
      </c>
      <c r="T91" s="527"/>
      <c r="U91"/>
      <c r="V91"/>
      <c r="W91"/>
      <c r="X91"/>
      <c r="Y91"/>
      <c r="Z91"/>
      <c r="AA91"/>
      <c r="AB91"/>
      <c r="AC91"/>
      <c r="AD91"/>
      <c r="AE91"/>
      <c r="AF91"/>
      <c r="AG91"/>
    </row>
    <row r="92" spans="1:33" ht="12.75">
      <c r="A92" s="345"/>
      <c r="B92" s="415"/>
      <c r="C92" s="424" t="s">
        <v>152</v>
      </c>
      <c r="D92" s="587"/>
      <c r="E92" s="588"/>
      <c r="F92" s="588"/>
      <c r="G92" s="589"/>
      <c r="H92" s="587"/>
      <c r="I92" s="588"/>
      <c r="J92" s="588"/>
      <c r="K92" s="589"/>
      <c r="L92" s="587"/>
      <c r="M92" s="587"/>
      <c r="N92" s="587"/>
      <c r="O92" s="589"/>
      <c r="P92" s="579">
        <v>0</v>
      </c>
      <c r="Q92" s="595">
        <v>0</v>
      </c>
      <c r="R92" s="576">
        <v>0</v>
      </c>
      <c r="S92" s="527" t="s">
        <v>15</v>
      </c>
      <c r="T92" s="527"/>
      <c r="U92"/>
      <c r="V92"/>
      <c r="W92"/>
      <c r="X92"/>
      <c r="Y92"/>
      <c r="Z92"/>
      <c r="AA92"/>
      <c r="AB92"/>
      <c r="AC92"/>
      <c r="AD92"/>
      <c r="AE92"/>
      <c r="AF92"/>
      <c r="AG92"/>
    </row>
    <row r="93" spans="1:33" ht="12.75">
      <c r="A93" s="345"/>
      <c r="B93" s="415"/>
      <c r="C93" s="423" t="s">
        <v>153</v>
      </c>
      <c r="D93" s="591"/>
      <c r="E93" s="592"/>
      <c r="F93" s="592"/>
      <c r="G93" s="593"/>
      <c r="H93" s="594"/>
      <c r="I93" s="588"/>
      <c r="J93" s="588"/>
      <c r="K93" s="589"/>
      <c r="L93" s="587"/>
      <c r="M93" s="587"/>
      <c r="N93" s="587"/>
      <c r="O93" s="589"/>
      <c r="P93" s="579">
        <v>0.21</v>
      </c>
      <c r="Q93" s="595">
        <v>0</v>
      </c>
      <c r="R93" s="576">
        <v>0</v>
      </c>
      <c r="S93" s="527" t="s">
        <v>15</v>
      </c>
      <c r="T93" s="527"/>
      <c r="U93"/>
      <c r="V93"/>
      <c r="W93"/>
      <c r="X93"/>
      <c r="Y93"/>
      <c r="Z93"/>
      <c r="AA93"/>
      <c r="AB93"/>
      <c r="AC93"/>
      <c r="AD93"/>
      <c r="AE93"/>
      <c r="AF93"/>
      <c r="AG93"/>
    </row>
    <row r="94" spans="1:20" ht="12.75">
      <c r="A94" s="345"/>
      <c r="B94" s="415"/>
      <c r="C94" s="423"/>
      <c r="D94" s="551"/>
      <c r="E94" s="552"/>
      <c r="F94" s="552"/>
      <c r="G94" s="553"/>
      <c r="H94" s="554"/>
      <c r="I94" s="555"/>
      <c r="J94" s="555"/>
      <c r="K94" s="556"/>
      <c r="L94" s="557"/>
      <c r="M94" s="557"/>
      <c r="N94" s="557"/>
      <c r="O94" s="558"/>
      <c r="P94" s="559"/>
      <c r="Q94" s="560"/>
      <c r="R94" s="561"/>
      <c r="S94" s="562"/>
      <c r="T94" s="527"/>
    </row>
    <row r="95" spans="1:20" ht="12.75">
      <c r="A95" s="345"/>
      <c r="B95" s="685" t="s">
        <v>12</v>
      </c>
      <c r="C95" s="686"/>
      <c r="D95" s="551"/>
      <c r="E95" s="552"/>
      <c r="F95" s="552"/>
      <c r="G95" s="553"/>
      <c r="H95" s="554"/>
      <c r="I95" s="555"/>
      <c r="J95" s="555"/>
      <c r="K95" s="556"/>
      <c r="L95" s="554"/>
      <c r="M95" s="554"/>
      <c r="N95" s="554"/>
      <c r="O95" s="563"/>
      <c r="P95" s="564"/>
      <c r="Q95" s="565"/>
      <c r="R95" s="566"/>
      <c r="S95" s="562"/>
      <c r="T95" s="527"/>
    </row>
    <row r="96" spans="1:20" ht="12.75">
      <c r="A96" s="345"/>
      <c r="B96" s="413"/>
      <c r="C96" s="423" t="s">
        <v>280</v>
      </c>
      <c r="D96" s="602"/>
      <c r="E96" s="603"/>
      <c r="F96" s="603"/>
      <c r="G96" s="604"/>
      <c r="H96" s="599"/>
      <c r="I96" s="576">
        <v>0.002777777777777778</v>
      </c>
      <c r="J96" s="576">
        <v>0.0011111111111111111</v>
      </c>
      <c r="K96" s="533">
        <f>I96*$G$10+J96*$G$11</f>
        <v>0.3927777777777778</v>
      </c>
      <c r="L96" s="596"/>
      <c r="M96" s="597"/>
      <c r="N96" s="597"/>
      <c r="O96" s="598"/>
      <c r="P96" s="596"/>
      <c r="Q96" s="597"/>
      <c r="R96" s="598"/>
      <c r="S96" s="527" t="s">
        <v>15</v>
      </c>
      <c r="T96" s="527"/>
    </row>
    <row r="97" spans="1:20" ht="12.75">
      <c r="A97" s="345"/>
      <c r="B97" s="415"/>
      <c r="C97" s="423"/>
      <c r="D97" s="567"/>
      <c r="E97" s="555"/>
      <c r="F97" s="555"/>
      <c r="G97" s="531"/>
      <c r="H97" s="534"/>
      <c r="I97" s="555"/>
      <c r="J97" s="555"/>
      <c r="K97" s="556"/>
      <c r="L97" s="554"/>
      <c r="M97" s="554"/>
      <c r="N97" s="554"/>
      <c r="O97" s="563"/>
      <c r="P97" s="568"/>
      <c r="Q97" s="569"/>
      <c r="R97" s="570"/>
      <c r="S97" s="562"/>
      <c r="T97" s="527"/>
    </row>
    <row r="98" spans="1:20" ht="12.75">
      <c r="A98" s="345"/>
      <c r="B98" s="685" t="s">
        <v>424</v>
      </c>
      <c r="C98" s="686"/>
      <c r="D98" s="567"/>
      <c r="E98" s="555"/>
      <c r="F98" s="555"/>
      <c r="G98" s="556"/>
      <c r="H98" s="557"/>
      <c r="I98" s="555"/>
      <c r="J98" s="555"/>
      <c r="K98" s="556"/>
      <c r="L98" s="554"/>
      <c r="M98" s="554"/>
      <c r="N98" s="554"/>
      <c r="O98" s="563"/>
      <c r="P98" s="564"/>
      <c r="Q98" s="565"/>
      <c r="R98" s="566"/>
      <c r="S98" s="562"/>
      <c r="T98" s="527"/>
    </row>
    <row r="99" spans="1:20" ht="12.75">
      <c r="A99" s="345"/>
      <c r="B99" s="416"/>
      <c r="C99" s="424" t="s">
        <v>13</v>
      </c>
      <c r="D99" s="587"/>
      <c r="E99" s="588"/>
      <c r="F99" s="588"/>
      <c r="G99" s="589"/>
      <c r="H99" s="579">
        <v>114.48</v>
      </c>
      <c r="I99" s="576">
        <v>0.3678858585858586</v>
      </c>
      <c r="J99" s="576">
        <v>0.00498459595959596</v>
      </c>
      <c r="K99" s="533">
        <f>I99*$G$10+J99*$G$11</f>
        <v>9.936815151515152</v>
      </c>
      <c r="L99" s="596"/>
      <c r="M99" s="597"/>
      <c r="N99" s="597"/>
      <c r="O99" s="598"/>
      <c r="P99" s="596"/>
      <c r="Q99" s="597"/>
      <c r="R99" s="598"/>
      <c r="S99" s="527" t="s">
        <v>15</v>
      </c>
      <c r="T99" s="527"/>
    </row>
    <row r="100" spans="1:20" ht="12.75">
      <c r="A100" s="345"/>
      <c r="B100" s="413"/>
      <c r="C100" s="424" t="s">
        <v>14</v>
      </c>
      <c r="D100" s="587"/>
      <c r="E100" s="588"/>
      <c r="F100" s="588"/>
      <c r="G100" s="589"/>
      <c r="H100" s="579">
        <v>284.770594</v>
      </c>
      <c r="I100" s="576">
        <v>0.025857055555555553</v>
      </c>
      <c r="J100" s="576">
        <v>0.007778277777777778</v>
      </c>
      <c r="K100" s="533">
        <f>I100*$G$10+J100*$G$11</f>
        <v>2.8970825</v>
      </c>
      <c r="L100" s="596"/>
      <c r="M100" s="597"/>
      <c r="N100" s="597"/>
      <c r="O100" s="598"/>
      <c r="P100" s="596"/>
      <c r="Q100" s="597"/>
      <c r="R100" s="598"/>
      <c r="S100" s="527" t="s">
        <v>15</v>
      </c>
      <c r="T100" s="527"/>
    </row>
    <row r="101" spans="1:20" ht="12.75">
      <c r="A101" s="345"/>
      <c r="B101" s="413"/>
      <c r="C101" s="423" t="s">
        <v>281</v>
      </c>
      <c r="D101" s="587"/>
      <c r="E101" s="588"/>
      <c r="F101" s="588"/>
      <c r="G101" s="589"/>
      <c r="H101" s="579">
        <v>5.560576449999999</v>
      </c>
      <c r="I101" s="576">
        <v>0.0042328</v>
      </c>
      <c r="J101" s="576">
        <v>0.00017636666666666668</v>
      </c>
      <c r="K101" s="533">
        <f>I101*$G$10+J101*$G$11</f>
        <v>0.14955893333333334</v>
      </c>
      <c r="L101" s="599"/>
      <c r="M101" s="600"/>
      <c r="N101" s="600"/>
      <c r="O101" s="601"/>
      <c r="P101" s="599"/>
      <c r="Q101" s="600"/>
      <c r="R101" s="601"/>
      <c r="S101" s="527" t="s">
        <v>15</v>
      </c>
      <c r="T101" s="527"/>
    </row>
    <row r="102" spans="1:20" ht="12.75">
      <c r="A102" s="345"/>
      <c r="B102" s="413"/>
      <c r="C102" s="423"/>
      <c r="D102" s="433"/>
      <c r="E102" s="350"/>
      <c r="F102" s="350"/>
      <c r="G102" s="436"/>
      <c r="H102" s="356"/>
      <c r="I102" s="352"/>
      <c r="J102" s="352"/>
      <c r="K102" s="434"/>
      <c r="L102" s="356"/>
      <c r="M102" s="350"/>
      <c r="N102" s="350"/>
      <c r="O102" s="436"/>
      <c r="P102" s="356"/>
      <c r="Q102" s="350"/>
      <c r="R102" s="436"/>
      <c r="S102" s="438"/>
      <c r="T102" s="438"/>
    </row>
    <row r="103" spans="1:20" ht="12.75" customHeight="1">
      <c r="A103" s="345"/>
      <c r="B103" s="683" t="s">
        <v>466</v>
      </c>
      <c r="C103" s="684"/>
      <c r="D103" s="432"/>
      <c r="E103" s="349"/>
      <c r="F103" s="349"/>
      <c r="G103" s="512"/>
      <c r="H103" s="513"/>
      <c r="I103" s="349"/>
      <c r="J103" s="349"/>
      <c r="K103" s="512"/>
      <c r="L103" s="513"/>
      <c r="M103" s="349"/>
      <c r="N103" s="349"/>
      <c r="O103" s="512"/>
      <c r="P103" s="514"/>
      <c r="Q103" s="515"/>
      <c r="R103" s="516"/>
      <c r="S103" s="517"/>
      <c r="T103" s="609"/>
    </row>
    <row r="104" spans="1:20" ht="12.75">
      <c r="A104" s="345"/>
      <c r="B104" s="518"/>
      <c r="C104" s="519" t="s">
        <v>25</v>
      </c>
      <c r="D104" s="610"/>
      <c r="E104" s="515"/>
      <c r="F104" s="515"/>
      <c r="G104" s="516"/>
      <c r="H104" s="365">
        <f>H30/0.9+H68*0.02</f>
        <v>72.34724333333332</v>
      </c>
      <c r="I104" s="347">
        <f>I30/0.9+I68*0.02+I96</f>
        <v>0.22875376543209874</v>
      </c>
      <c r="J104" s="347">
        <f>J30/0.9+J68*0.02+J96</f>
        <v>0.0014658024691358025</v>
      </c>
      <c r="K104" s="520">
        <f>H104*$G$9+I104*$G$10+J104*$G$11</f>
        <v>78.04245746913578</v>
      </c>
      <c r="L104" s="514"/>
      <c r="M104" s="347"/>
      <c r="N104" s="515"/>
      <c r="O104" s="516"/>
      <c r="P104" s="514"/>
      <c r="Q104" s="515"/>
      <c r="R104" s="516"/>
      <c r="S104" s="517" t="s">
        <v>467</v>
      </c>
      <c r="T104" s="609"/>
    </row>
    <row r="105" spans="1:20" ht="12.75">
      <c r="A105" s="345"/>
      <c r="B105" s="518"/>
      <c r="C105" s="519" t="s">
        <v>357</v>
      </c>
      <c r="D105" s="432"/>
      <c r="E105" s="349"/>
      <c r="F105" s="349"/>
      <c r="G105" s="512"/>
      <c r="H105" s="365">
        <f>H30*1.8664-0.6615*H99</f>
        <v>41.7874896</v>
      </c>
      <c r="I105" s="347">
        <f>I30*1.8664-0.6615*I99</f>
        <v>0.1264499267676768</v>
      </c>
      <c r="J105" s="347">
        <f>J30*1.8664-0.6615*J99</f>
        <v>-0.0028825546717171713</v>
      </c>
      <c r="K105" s="520">
        <f>H105*$G$9+I105*$G$10+J105*$G$11</f>
        <v>43.842601732828285</v>
      </c>
      <c r="L105" s="513"/>
      <c r="M105" s="349"/>
      <c r="N105" s="349"/>
      <c r="O105" s="512"/>
      <c r="P105" s="514"/>
      <c r="Q105" s="515"/>
      <c r="R105" s="516"/>
      <c r="S105" s="632" t="s">
        <v>468</v>
      </c>
      <c r="T105" s="609"/>
    </row>
    <row r="106" spans="1:20" ht="12.75">
      <c r="A106" s="345"/>
      <c r="B106" s="518"/>
      <c r="C106" s="519" t="s">
        <v>358</v>
      </c>
      <c r="D106" s="432"/>
      <c r="E106" s="349"/>
      <c r="F106" s="349"/>
      <c r="G106" s="512"/>
      <c r="H106" s="365">
        <f>1.4049*H44-0.2222*H100</f>
        <v>100.75603941320001</v>
      </c>
      <c r="I106" s="347">
        <f>1.4049*I44+0.0083/3.6-0.2222*I100</f>
        <v>0.00928226781111111</v>
      </c>
      <c r="J106" s="347">
        <f>1.4049*J44+0.0454/3.6-0.2222*J100</f>
        <v>0.010960827788888888</v>
      </c>
      <c r="K106" s="520">
        <f>H106*$G$9+I106*$G$10+J106*$G$11</f>
        <v>104.21393659836669</v>
      </c>
      <c r="L106" s="513"/>
      <c r="M106" s="349"/>
      <c r="N106" s="349"/>
      <c r="O106" s="512"/>
      <c r="P106" s="514"/>
      <c r="Q106" s="515"/>
      <c r="R106" s="516"/>
      <c r="S106" s="632" t="s">
        <v>469</v>
      </c>
      <c r="T106" s="609"/>
    </row>
    <row r="107" spans="1:20" ht="12.75">
      <c r="A107" s="345"/>
      <c r="B107" s="518"/>
      <c r="C107" s="519" t="s">
        <v>359</v>
      </c>
      <c r="D107" s="432"/>
      <c r="E107" s="349"/>
      <c r="F107" s="349"/>
      <c r="G107" s="512"/>
      <c r="H107" s="365">
        <f>2.1322*H65-0.3612*H101</f>
        <v>1.7262457695933335</v>
      </c>
      <c r="I107" s="347">
        <f>2.1322*I65-0.3612*I101</f>
        <v>0.0013140459733333332</v>
      </c>
      <c r="J107" s="347">
        <f>2.1322*J65-0.3612*J101</f>
        <v>5.4751915555555555E-05</v>
      </c>
      <c r="K107" s="520">
        <f>H107*$G$9+I107*$G$10+J107*$G$11</f>
        <v>1.7726753939844446</v>
      </c>
      <c r="L107" s="513"/>
      <c r="M107" s="349"/>
      <c r="N107" s="349"/>
      <c r="O107" s="512"/>
      <c r="P107" s="514"/>
      <c r="Q107" s="515"/>
      <c r="R107" s="516"/>
      <c r="S107" s="632" t="s">
        <v>470</v>
      </c>
      <c r="T107" s="609"/>
    </row>
    <row r="108" spans="1:20" ht="12.75">
      <c r="A108" s="345"/>
      <c r="B108" s="415"/>
      <c r="C108" s="423"/>
      <c r="D108" s="431"/>
      <c r="E108" s="348"/>
      <c r="F108" s="348"/>
      <c r="G108" s="430"/>
      <c r="H108" s="355"/>
      <c r="I108" s="348"/>
      <c r="J108" s="348"/>
      <c r="K108" s="430"/>
      <c r="L108" s="355"/>
      <c r="M108" s="348"/>
      <c r="N108" s="348"/>
      <c r="O108" s="430"/>
      <c r="P108" s="356"/>
      <c r="Q108" s="350"/>
      <c r="R108" s="436"/>
      <c r="S108" s="442"/>
      <c r="T108" s="438"/>
    </row>
    <row r="109" spans="1:20" ht="12.75">
      <c r="A109" s="345"/>
      <c r="B109" s="681" t="s">
        <v>240</v>
      </c>
      <c r="C109" s="682"/>
      <c r="D109" s="611"/>
      <c r="E109" s="492"/>
      <c r="F109" s="492"/>
      <c r="G109" s="439"/>
      <c r="H109" s="493"/>
      <c r="I109" s="492"/>
      <c r="J109" s="492"/>
      <c r="K109" s="439"/>
      <c r="L109" s="493"/>
      <c r="M109" s="492"/>
      <c r="N109" s="492"/>
      <c r="O109" s="439"/>
      <c r="P109" s="494"/>
      <c r="Q109" s="495"/>
      <c r="R109" s="496"/>
      <c r="S109" s="497"/>
      <c r="T109" s="501"/>
    </row>
    <row r="110" spans="1:20" ht="12.75">
      <c r="A110" s="345"/>
      <c r="B110" s="498"/>
      <c r="C110" s="499" t="str">
        <f>IF('User defined standard values'!C7&lt;&gt;"",'User defined standard values'!C7,"")</f>
        <v>Example 1 (diesel from standard values)</v>
      </c>
      <c r="D110" s="491">
        <f>IF('User defined standard values'!D7&lt;&gt;"",'User defined standard values'!D7,"")</f>
      </c>
      <c r="E110" s="492">
        <f>IF('User defined standard values'!E7&lt;&gt;"",'User defined standard values'!E7,"")</f>
      </c>
      <c r="F110" s="492">
        <f>IF('User defined standard values'!F7&lt;&gt;"",'User defined standard values'!F7,"")</f>
      </c>
      <c r="G110" s="439">
        <f>IF('User defined standard values'!G7&lt;&gt;"",'User defined standard values'!G7,"")</f>
        <v>0</v>
      </c>
      <c r="H110" s="366">
        <f>IF('User defined standard values'!H7&lt;&gt;"",'User defined standard values'!H7,"")</f>
        <v>87.5126111111111</v>
      </c>
      <c r="I110" s="351">
        <f>IF('User defined standard values'!I7&lt;&gt;"",'User defined standard values'!I7,"")</f>
        <v>0.0014444444444444444</v>
      </c>
      <c r="J110" s="351">
        <f>IF('User defined standard values'!J7&lt;&gt;"",'User defined standard values'!J7,"")</f>
        <v>2.777777777777778E-05</v>
      </c>
      <c r="K110" s="500">
        <f>IF('User defined standard values'!K7&lt;&gt;"",'User defined standard values'!K7,"")</f>
        <v>87.55405555555554</v>
      </c>
      <c r="L110" s="351">
        <f>IF('User defined standard values'!L7&lt;&gt;"",'User defined standard values'!L7,"")</f>
      </c>
      <c r="M110" s="351">
        <f>IF('User defined standard values'!M7&lt;&gt;"",'User defined standard values'!M7,"")</f>
        <v>1.1575</v>
      </c>
      <c r="N110" s="492">
        <f>IF('User defined standard values'!N7&lt;&gt;"",'User defined standard values'!N7,"")</f>
        <v>832</v>
      </c>
      <c r="O110" s="439">
        <f>IF('User defined standard values'!O7&lt;&gt;"",'User defined standard values'!O7,"")</f>
        <v>43.1</v>
      </c>
      <c r="P110" s="351">
        <f>IF('User defined standard values'!P7&lt;&gt;"",'User defined standard values'!P7,"")</f>
      </c>
      <c r="Q110" s="351">
        <f>IF('User defined standard values'!Q7&lt;&gt;"",'User defined standard values'!Q7,"")</f>
      </c>
      <c r="R110" s="439">
        <f>IF('User defined standard values'!R7&lt;&gt;"",'User defined standard values'!R7,"")</f>
      </c>
      <c r="S110" s="497" t="str">
        <f>IF('User defined standard values'!S7&lt;&gt;"",'User defined standard values'!S7,"")</f>
        <v>WTT Appendix 1 (v3) paragraph 2.1 &amp; 3 (Z1)</v>
      </c>
      <c r="T110" s="501">
        <f>IF('User defined standard values'!T7&lt;&gt;"",'User defined standard values'!T7,"")</f>
      </c>
    </row>
    <row r="111" spans="1:20" ht="12.75">
      <c r="A111" s="345"/>
      <c r="B111" s="498"/>
      <c r="C111" s="499" t="str">
        <f>IF('User defined standard values'!C8&lt;&gt;"",'User defined standard values'!C8,"")</f>
        <v>Example 2 (methanol from standard values)</v>
      </c>
      <c r="D111" s="491">
        <f>IF('User defined standard values'!D8&lt;&gt;"",'User defined standard values'!D8,"")</f>
      </c>
      <c r="E111" s="492">
        <f>IF('User defined standard values'!E8&lt;&gt;"",'User defined standard values'!E8,"")</f>
      </c>
      <c r="F111" s="492">
        <f>IF('User defined standard values'!F8&lt;&gt;"",'User defined standard values'!F8,"")</f>
      </c>
      <c r="G111" s="439">
        <f>IF('User defined standard values'!G8&lt;&gt;"",'User defined standard values'!G8,"")</f>
        <v>0</v>
      </c>
      <c r="H111" s="366">
        <f>IF('User defined standard values'!H8&lt;&gt;"",'User defined standard values'!H8,"")</f>
        <v>92.79744444444445</v>
      </c>
      <c r="I111" s="351">
        <f>IF('User defined standard values'!I8&lt;&gt;"",'User defined standard values'!I8,"")</f>
        <v>0.2900277777777778</v>
      </c>
      <c r="J111" s="351">
        <f>IF('User defined standard values'!J8&lt;&gt;"",'User defined standard values'!J8,"")</f>
        <v>0.0003333333333333333</v>
      </c>
      <c r="K111" s="500">
        <f>IF('User defined standard values'!K8&lt;&gt;"",'User defined standard values'!K8,"")</f>
        <v>99.56675000000001</v>
      </c>
      <c r="L111" s="351">
        <f>IF('User defined standard values'!L8&lt;&gt;"",'User defined standard values'!L8,"")</f>
      </c>
      <c r="M111" s="351">
        <f>IF('User defined standard values'!M8&lt;&gt;"",'User defined standard values'!M8,"")</f>
        <v>1.6594</v>
      </c>
      <c r="N111" s="492">
        <f>IF('User defined standard values'!N8&lt;&gt;"",'User defined standard values'!N8,"")</f>
        <v>793</v>
      </c>
      <c r="O111" s="439">
        <f>IF('User defined standard values'!O8&lt;&gt;"",'User defined standard values'!O8,"")</f>
        <v>19.9</v>
      </c>
      <c r="P111" s="351">
        <f>IF('User defined standard values'!P8&lt;&gt;"",'User defined standard values'!P8,"")</f>
      </c>
      <c r="Q111" s="351">
        <f>IF('User defined standard values'!Q8&lt;&gt;"",'User defined standard values'!Q8,"")</f>
      </c>
      <c r="R111" s="439">
        <f>IF('User defined standard values'!R8&lt;&gt;"",'User defined standard values'!R8,"")</f>
      </c>
      <c r="S111" s="497" t="str">
        <f>IF('User defined standard values'!S8&lt;&gt;"",'User defined standard values'!S8,"")</f>
        <v>WTT Appendix 1 (v3) paragraph 2.1 &amp; 6.1 (GA1)</v>
      </c>
      <c r="T111" s="501">
        <f>IF('User defined standard values'!T8&lt;&gt;"",'User defined standard values'!T8,"")</f>
      </c>
    </row>
    <row r="112" spans="1:20" ht="12.75">
      <c r="A112" s="345"/>
      <c r="B112" s="498"/>
      <c r="C112" s="499">
        <f>IF('User defined standard values'!C9&lt;&gt;"",'User defined standard values'!C9,"")</f>
      </c>
      <c r="D112" s="491">
        <f>IF('User defined standard values'!D9&lt;&gt;"",'User defined standard values'!D9,"")</f>
      </c>
      <c r="E112" s="492">
        <f>IF('User defined standard values'!E9&lt;&gt;"",'User defined standard values'!E9,"")</f>
      </c>
      <c r="F112" s="492">
        <f>IF('User defined standard values'!F9&lt;&gt;"",'User defined standard values'!F9,"")</f>
      </c>
      <c r="G112" s="439">
        <f>IF('User defined standard values'!G9&lt;&gt;"",'User defined standard values'!G9,"")</f>
        <v>0</v>
      </c>
      <c r="H112" s="366">
        <f>IF('User defined standard values'!H9&lt;&gt;"",'User defined standard values'!H9,"")</f>
      </c>
      <c r="I112" s="351">
        <f>IF('User defined standard values'!I9&lt;&gt;"",'User defined standard values'!I9,"")</f>
      </c>
      <c r="J112" s="351">
        <f>IF('User defined standard values'!J9&lt;&gt;"",'User defined standard values'!J9,"")</f>
      </c>
      <c r="K112" s="500">
        <f>IF('User defined standard values'!K9&lt;&gt;"",'User defined standard values'!K9,"")</f>
        <v>0</v>
      </c>
      <c r="L112" s="351">
        <f>IF('User defined standard values'!L9&lt;&gt;"",'User defined standard values'!L9,"")</f>
      </c>
      <c r="M112" s="351">
        <f>IF('User defined standard values'!M9&lt;&gt;"",'User defined standard values'!M9,"")</f>
      </c>
      <c r="N112" s="492">
        <f>IF('User defined standard values'!N9&lt;&gt;"",'User defined standard values'!N9,"")</f>
      </c>
      <c r="O112" s="439">
        <f>IF('User defined standard values'!O9&lt;&gt;"",'User defined standard values'!O9,"")</f>
      </c>
      <c r="P112" s="351">
        <f>IF('User defined standard values'!P9&lt;&gt;"",'User defined standard values'!P9,"")</f>
      </c>
      <c r="Q112" s="351">
        <f>IF('User defined standard values'!Q9&lt;&gt;"",'User defined standard values'!Q9,"")</f>
      </c>
      <c r="R112" s="439">
        <f>IF('User defined standard values'!R9&lt;&gt;"",'User defined standard values'!R9,"")</f>
      </c>
      <c r="S112" s="497">
        <f>IF('User defined standard values'!S9&lt;&gt;"",'User defined standard values'!S9,"")</f>
      </c>
      <c r="T112" s="501">
        <f>IF('User defined standard values'!T9&lt;&gt;"",'User defined standard values'!T9,"")</f>
      </c>
    </row>
    <row r="113" spans="1:20" ht="12.75">
      <c r="A113" s="345"/>
      <c r="B113" s="498"/>
      <c r="C113" s="499">
        <f>IF('User defined standard values'!C10&lt;&gt;"",'User defined standard values'!C10,"")</f>
      </c>
      <c r="D113" s="491">
        <f>IF('User defined standard values'!D10&lt;&gt;"",'User defined standard values'!D10,"")</f>
      </c>
      <c r="E113" s="492">
        <f>IF('User defined standard values'!E10&lt;&gt;"",'User defined standard values'!E10,"")</f>
      </c>
      <c r="F113" s="492">
        <f>IF('User defined standard values'!F10&lt;&gt;"",'User defined standard values'!F10,"")</f>
      </c>
      <c r="G113" s="439">
        <f>IF('User defined standard values'!G10&lt;&gt;"",'User defined standard values'!G10,"")</f>
        <v>0</v>
      </c>
      <c r="H113" s="366">
        <f>IF('User defined standard values'!H10&lt;&gt;"",'User defined standard values'!H10,"")</f>
      </c>
      <c r="I113" s="351">
        <f>IF('User defined standard values'!I10&lt;&gt;"",'User defined standard values'!I10,"")</f>
      </c>
      <c r="J113" s="351">
        <f>IF('User defined standard values'!J10&lt;&gt;"",'User defined standard values'!J10,"")</f>
      </c>
      <c r="K113" s="500">
        <f>IF('User defined standard values'!K10&lt;&gt;"",'User defined standard values'!K10,"")</f>
        <v>0</v>
      </c>
      <c r="L113" s="351">
        <f>IF('User defined standard values'!L10&lt;&gt;"",'User defined standard values'!L10,"")</f>
      </c>
      <c r="M113" s="351">
        <f>IF('User defined standard values'!M10&lt;&gt;"",'User defined standard values'!M10,"")</f>
      </c>
      <c r="N113" s="492">
        <f>IF('User defined standard values'!N10&lt;&gt;"",'User defined standard values'!N10,"")</f>
      </c>
      <c r="O113" s="439">
        <f>IF('User defined standard values'!O10&lt;&gt;"",'User defined standard values'!O10,"")</f>
      </c>
      <c r="P113" s="351">
        <f>IF('User defined standard values'!P10&lt;&gt;"",'User defined standard values'!P10,"")</f>
      </c>
      <c r="Q113" s="351">
        <f>IF('User defined standard values'!Q10&lt;&gt;"",'User defined standard values'!Q10,"")</f>
      </c>
      <c r="R113" s="439">
        <f>IF('User defined standard values'!R10&lt;&gt;"",'User defined standard values'!R10,"")</f>
      </c>
      <c r="S113" s="497">
        <f>IF('User defined standard values'!S10&lt;&gt;"",'User defined standard values'!S10,"")</f>
      </c>
      <c r="T113" s="501">
        <f>IF('User defined standard values'!T10&lt;&gt;"",'User defined standard values'!T10,"")</f>
      </c>
    </row>
    <row r="114" spans="1:20" ht="12.75">
      <c r="A114" s="345"/>
      <c r="B114" s="498"/>
      <c r="C114" s="499">
        <f>IF('User defined standard values'!C11&lt;&gt;"",'User defined standard values'!C11,"")</f>
      </c>
      <c r="D114" s="491">
        <f>IF('User defined standard values'!D11&lt;&gt;"",'User defined standard values'!D11,"")</f>
      </c>
      <c r="E114" s="492">
        <f>IF('User defined standard values'!E11&lt;&gt;"",'User defined standard values'!E11,"")</f>
      </c>
      <c r="F114" s="492">
        <f>IF('User defined standard values'!F11&lt;&gt;"",'User defined standard values'!F11,"")</f>
      </c>
      <c r="G114" s="439">
        <f>IF('User defined standard values'!G11&lt;&gt;"",'User defined standard values'!G11,"")</f>
        <v>0</v>
      </c>
      <c r="H114" s="366">
        <f>IF('User defined standard values'!H11&lt;&gt;"",'User defined standard values'!H11,"")</f>
      </c>
      <c r="I114" s="351">
        <f>IF('User defined standard values'!I11&lt;&gt;"",'User defined standard values'!I11,"")</f>
      </c>
      <c r="J114" s="351">
        <f>IF('User defined standard values'!J11&lt;&gt;"",'User defined standard values'!J11,"")</f>
      </c>
      <c r="K114" s="500">
        <f>IF('User defined standard values'!K11&lt;&gt;"",'User defined standard values'!K11,"")</f>
        <v>0</v>
      </c>
      <c r="L114" s="351">
        <f>IF('User defined standard values'!L11&lt;&gt;"",'User defined standard values'!L11,"")</f>
      </c>
      <c r="M114" s="351">
        <f>IF('User defined standard values'!M11&lt;&gt;"",'User defined standard values'!M11,"")</f>
      </c>
      <c r="N114" s="492">
        <f>IF('User defined standard values'!N11&lt;&gt;"",'User defined standard values'!N11,"")</f>
      </c>
      <c r="O114" s="439">
        <f>IF('User defined standard values'!O11&lt;&gt;"",'User defined standard values'!O11,"")</f>
      </c>
      <c r="P114" s="351">
        <f>IF('User defined standard values'!P11&lt;&gt;"",'User defined standard values'!P11,"")</f>
      </c>
      <c r="Q114" s="351">
        <f>IF('User defined standard values'!Q11&lt;&gt;"",'User defined standard values'!Q11,"")</f>
      </c>
      <c r="R114" s="439">
        <f>IF('User defined standard values'!R11&lt;&gt;"",'User defined standard values'!R11,"")</f>
      </c>
      <c r="S114" s="497">
        <f>IF('User defined standard values'!S11&lt;&gt;"",'User defined standard values'!S11,"")</f>
      </c>
      <c r="T114" s="501">
        <f>IF('User defined standard values'!T11&lt;&gt;"",'User defined standard values'!T11,"")</f>
      </c>
    </row>
    <row r="115" spans="1:20" ht="12.75">
      <c r="A115" s="345"/>
      <c r="B115" s="498"/>
      <c r="C115" s="499">
        <f>IF('User defined standard values'!C12&lt;&gt;"",'User defined standard values'!C12,"")</f>
      </c>
      <c r="D115" s="491">
        <f>IF('User defined standard values'!D12&lt;&gt;"",'User defined standard values'!D12,"")</f>
      </c>
      <c r="E115" s="492">
        <f>IF('User defined standard values'!E12&lt;&gt;"",'User defined standard values'!E12,"")</f>
      </c>
      <c r="F115" s="492">
        <f>IF('User defined standard values'!F12&lt;&gt;"",'User defined standard values'!F12,"")</f>
      </c>
      <c r="G115" s="439">
        <f>IF('User defined standard values'!G12&lt;&gt;"",'User defined standard values'!G12,"")</f>
        <v>0</v>
      </c>
      <c r="H115" s="366">
        <f>IF('User defined standard values'!H12&lt;&gt;"",'User defined standard values'!H12,"")</f>
      </c>
      <c r="I115" s="351">
        <f>IF('User defined standard values'!I12&lt;&gt;"",'User defined standard values'!I12,"")</f>
      </c>
      <c r="J115" s="351">
        <f>IF('User defined standard values'!J12&lt;&gt;"",'User defined standard values'!J12,"")</f>
      </c>
      <c r="K115" s="500">
        <f>IF('User defined standard values'!K12&lt;&gt;"",'User defined standard values'!K12,"")</f>
        <v>0</v>
      </c>
      <c r="L115" s="351">
        <f>IF('User defined standard values'!L12&lt;&gt;"",'User defined standard values'!L12,"")</f>
      </c>
      <c r="M115" s="351">
        <f>IF('User defined standard values'!M12&lt;&gt;"",'User defined standard values'!M12,"")</f>
      </c>
      <c r="N115" s="492">
        <f>IF('User defined standard values'!N12&lt;&gt;"",'User defined standard values'!N12,"")</f>
      </c>
      <c r="O115" s="439">
        <f>IF('User defined standard values'!O12&lt;&gt;"",'User defined standard values'!O12,"")</f>
      </c>
      <c r="P115" s="351">
        <f>IF('User defined standard values'!P12&lt;&gt;"",'User defined standard values'!P12,"")</f>
      </c>
      <c r="Q115" s="351">
        <f>IF('User defined standard values'!Q12&lt;&gt;"",'User defined standard values'!Q12,"")</f>
      </c>
      <c r="R115" s="439">
        <f>IF('User defined standard values'!R12&lt;&gt;"",'User defined standard values'!R12,"")</f>
      </c>
      <c r="S115" s="497">
        <f>IF('User defined standard values'!S12&lt;&gt;"",'User defined standard values'!S12,"")</f>
      </c>
      <c r="T115" s="501">
        <f>IF('User defined standard values'!T12&lt;&gt;"",'User defined standard values'!T12,"")</f>
      </c>
    </row>
    <row r="116" spans="1:20" ht="12.75">
      <c r="A116" s="345"/>
      <c r="B116" s="498"/>
      <c r="C116" s="499">
        <f>IF('User defined standard values'!C13&lt;&gt;"",'User defined standard values'!C13,"")</f>
      </c>
      <c r="D116" s="491">
        <f>IF('User defined standard values'!D13&lt;&gt;"",'User defined standard values'!D13,"")</f>
      </c>
      <c r="E116" s="492">
        <f>IF('User defined standard values'!E13&lt;&gt;"",'User defined standard values'!E13,"")</f>
      </c>
      <c r="F116" s="492">
        <f>IF('User defined standard values'!F13&lt;&gt;"",'User defined standard values'!F13,"")</f>
      </c>
      <c r="G116" s="439">
        <f>IF('User defined standard values'!G13&lt;&gt;"",'User defined standard values'!G13,"")</f>
        <v>0</v>
      </c>
      <c r="H116" s="366">
        <f>IF('User defined standard values'!H13&lt;&gt;"",'User defined standard values'!H13,"")</f>
      </c>
      <c r="I116" s="351">
        <f>IF('User defined standard values'!I13&lt;&gt;"",'User defined standard values'!I13,"")</f>
      </c>
      <c r="J116" s="351">
        <f>IF('User defined standard values'!J13&lt;&gt;"",'User defined standard values'!J13,"")</f>
      </c>
      <c r="K116" s="500">
        <f>IF('User defined standard values'!K13&lt;&gt;"",'User defined standard values'!K13,"")</f>
        <v>0</v>
      </c>
      <c r="L116" s="351">
        <f>IF('User defined standard values'!L13&lt;&gt;"",'User defined standard values'!L13,"")</f>
      </c>
      <c r="M116" s="351">
        <f>IF('User defined standard values'!M13&lt;&gt;"",'User defined standard values'!M13,"")</f>
      </c>
      <c r="N116" s="492">
        <f>IF('User defined standard values'!N13&lt;&gt;"",'User defined standard values'!N13,"")</f>
      </c>
      <c r="O116" s="439">
        <f>IF('User defined standard values'!O13&lt;&gt;"",'User defined standard values'!O13,"")</f>
      </c>
      <c r="P116" s="351">
        <f>IF('User defined standard values'!P13&lt;&gt;"",'User defined standard values'!P13,"")</f>
      </c>
      <c r="Q116" s="351">
        <f>IF('User defined standard values'!Q13&lt;&gt;"",'User defined standard values'!Q13,"")</f>
      </c>
      <c r="R116" s="439">
        <f>IF('User defined standard values'!R13&lt;&gt;"",'User defined standard values'!R13,"")</f>
      </c>
      <c r="S116" s="497">
        <f>IF('User defined standard values'!S13&lt;&gt;"",'User defined standard values'!S13,"")</f>
      </c>
      <c r="T116" s="501">
        <f>IF('User defined standard values'!T13&lt;&gt;"",'User defined standard values'!T13,"")</f>
      </c>
    </row>
    <row r="117" spans="1:20" ht="12.75">
      <c r="A117" s="345"/>
      <c r="B117" s="498"/>
      <c r="C117" s="499">
        <f>IF('User defined standard values'!C14&lt;&gt;"",'User defined standard values'!C14,"")</f>
      </c>
      <c r="D117" s="491">
        <f>IF('User defined standard values'!D14&lt;&gt;"",'User defined standard values'!D14,"")</f>
      </c>
      <c r="E117" s="492">
        <f>IF('User defined standard values'!E14&lt;&gt;"",'User defined standard values'!E14,"")</f>
      </c>
      <c r="F117" s="492">
        <f>IF('User defined standard values'!F14&lt;&gt;"",'User defined standard values'!F14,"")</f>
      </c>
      <c r="G117" s="439">
        <f>IF('User defined standard values'!G14&lt;&gt;"",'User defined standard values'!G14,"")</f>
        <v>0</v>
      </c>
      <c r="H117" s="366">
        <f>IF('User defined standard values'!H14&lt;&gt;"",'User defined standard values'!H14,"")</f>
      </c>
      <c r="I117" s="351">
        <f>IF('User defined standard values'!I14&lt;&gt;"",'User defined standard values'!I14,"")</f>
      </c>
      <c r="J117" s="351">
        <f>IF('User defined standard values'!J14&lt;&gt;"",'User defined standard values'!J14,"")</f>
      </c>
      <c r="K117" s="500">
        <f>IF('User defined standard values'!K14&lt;&gt;"",'User defined standard values'!K14,"")</f>
        <v>0</v>
      </c>
      <c r="L117" s="351">
        <f>IF('User defined standard values'!L14&lt;&gt;"",'User defined standard values'!L14,"")</f>
      </c>
      <c r="M117" s="351">
        <f>IF('User defined standard values'!M14&lt;&gt;"",'User defined standard values'!M14,"")</f>
      </c>
      <c r="N117" s="492">
        <f>IF('User defined standard values'!N14&lt;&gt;"",'User defined standard values'!N14,"")</f>
      </c>
      <c r="O117" s="439">
        <f>IF('User defined standard values'!O14&lt;&gt;"",'User defined standard values'!O14,"")</f>
      </c>
      <c r="P117" s="351">
        <f>IF('User defined standard values'!P14&lt;&gt;"",'User defined standard values'!P14,"")</f>
      </c>
      <c r="Q117" s="351">
        <f>IF('User defined standard values'!Q14&lt;&gt;"",'User defined standard values'!Q14,"")</f>
      </c>
      <c r="R117" s="439">
        <f>IF('User defined standard values'!R14&lt;&gt;"",'User defined standard values'!R14,"")</f>
      </c>
      <c r="S117" s="497">
        <f>IF('User defined standard values'!S14&lt;&gt;"",'User defined standard values'!S14,"")</f>
      </c>
      <c r="T117" s="501">
        <f>IF('User defined standard values'!T14&lt;&gt;"",'User defined standard values'!T14,"")</f>
      </c>
    </row>
    <row r="118" spans="1:20" ht="12.75">
      <c r="A118" s="345"/>
      <c r="B118" s="498"/>
      <c r="C118" s="499">
        <f>IF('User defined standard values'!C15&lt;&gt;"",'User defined standard values'!C15,"")</f>
      </c>
      <c r="D118" s="491">
        <f>IF('User defined standard values'!D15&lt;&gt;"",'User defined standard values'!D15,"")</f>
      </c>
      <c r="E118" s="492">
        <f>IF('User defined standard values'!E15&lt;&gt;"",'User defined standard values'!E15,"")</f>
      </c>
      <c r="F118" s="492">
        <f>IF('User defined standard values'!F15&lt;&gt;"",'User defined standard values'!F15,"")</f>
      </c>
      <c r="G118" s="439">
        <f>IF('User defined standard values'!G15&lt;&gt;"",'User defined standard values'!G15,"")</f>
        <v>0</v>
      </c>
      <c r="H118" s="366">
        <f>IF('User defined standard values'!H15&lt;&gt;"",'User defined standard values'!H15,"")</f>
      </c>
      <c r="I118" s="351">
        <f>IF('User defined standard values'!I15&lt;&gt;"",'User defined standard values'!I15,"")</f>
      </c>
      <c r="J118" s="351">
        <f>IF('User defined standard values'!J15&lt;&gt;"",'User defined standard values'!J15,"")</f>
      </c>
      <c r="K118" s="500">
        <f>IF('User defined standard values'!K15&lt;&gt;"",'User defined standard values'!K15,"")</f>
        <v>0</v>
      </c>
      <c r="L118" s="351">
        <f>IF('User defined standard values'!L15&lt;&gt;"",'User defined standard values'!L15,"")</f>
      </c>
      <c r="M118" s="351">
        <f>IF('User defined standard values'!M15&lt;&gt;"",'User defined standard values'!M15,"")</f>
      </c>
      <c r="N118" s="492">
        <f>IF('User defined standard values'!N15&lt;&gt;"",'User defined standard values'!N15,"")</f>
      </c>
      <c r="O118" s="439">
        <f>IF('User defined standard values'!O15&lt;&gt;"",'User defined standard values'!O15,"")</f>
      </c>
      <c r="P118" s="351">
        <f>IF('User defined standard values'!P15&lt;&gt;"",'User defined standard values'!P15,"")</f>
      </c>
      <c r="Q118" s="351">
        <f>IF('User defined standard values'!Q15&lt;&gt;"",'User defined standard values'!Q15,"")</f>
      </c>
      <c r="R118" s="439">
        <f>IF('User defined standard values'!R15&lt;&gt;"",'User defined standard values'!R15,"")</f>
      </c>
      <c r="S118" s="497">
        <f>IF('User defined standard values'!S15&lt;&gt;"",'User defined standard values'!S15,"")</f>
      </c>
      <c r="T118" s="501">
        <f>IF('User defined standard values'!T15&lt;&gt;"",'User defined standard values'!T15,"")</f>
      </c>
    </row>
    <row r="119" spans="1:20" ht="12.75">
      <c r="A119" s="345"/>
      <c r="B119" s="498"/>
      <c r="C119" s="499">
        <f>IF('User defined standard values'!C16&lt;&gt;"",'User defined standard values'!C16,"")</f>
      </c>
      <c r="D119" s="491">
        <f>IF('User defined standard values'!D16&lt;&gt;"",'User defined standard values'!D16,"")</f>
      </c>
      <c r="E119" s="492">
        <f>IF('User defined standard values'!E16&lt;&gt;"",'User defined standard values'!E16,"")</f>
      </c>
      <c r="F119" s="492">
        <f>IF('User defined standard values'!F16&lt;&gt;"",'User defined standard values'!F16,"")</f>
      </c>
      <c r="G119" s="439">
        <f>IF('User defined standard values'!G16&lt;&gt;"",'User defined standard values'!G16,"")</f>
        <v>0</v>
      </c>
      <c r="H119" s="366">
        <f>IF('User defined standard values'!H16&lt;&gt;"",'User defined standard values'!H16,"")</f>
      </c>
      <c r="I119" s="351">
        <f>IF('User defined standard values'!I16&lt;&gt;"",'User defined standard values'!I16,"")</f>
      </c>
      <c r="J119" s="351">
        <f>IF('User defined standard values'!J16&lt;&gt;"",'User defined standard values'!J16,"")</f>
      </c>
      <c r="K119" s="500">
        <f>IF('User defined standard values'!K16&lt;&gt;"",'User defined standard values'!K16,"")</f>
        <v>0</v>
      </c>
      <c r="L119" s="351">
        <f>IF('User defined standard values'!L16&lt;&gt;"",'User defined standard values'!L16,"")</f>
      </c>
      <c r="M119" s="351">
        <f>IF('User defined standard values'!M16&lt;&gt;"",'User defined standard values'!M16,"")</f>
      </c>
      <c r="N119" s="492">
        <f>IF('User defined standard values'!N16&lt;&gt;"",'User defined standard values'!N16,"")</f>
      </c>
      <c r="O119" s="439">
        <f>IF('User defined standard values'!O16&lt;&gt;"",'User defined standard values'!O16,"")</f>
      </c>
      <c r="P119" s="351">
        <f>IF('User defined standard values'!P16&lt;&gt;"",'User defined standard values'!P16,"")</f>
      </c>
      <c r="Q119" s="351">
        <f>IF('User defined standard values'!Q16&lt;&gt;"",'User defined standard values'!Q16,"")</f>
      </c>
      <c r="R119" s="439">
        <f>IF('User defined standard values'!R16&lt;&gt;"",'User defined standard values'!R16,"")</f>
      </c>
      <c r="S119" s="497">
        <f>IF('User defined standard values'!S16&lt;&gt;"",'User defined standard values'!S16,"")</f>
      </c>
      <c r="T119" s="501">
        <f>IF('User defined standard values'!T16&lt;&gt;"",'User defined standard values'!T16,"")</f>
      </c>
    </row>
    <row r="120" spans="1:20" ht="12.75">
      <c r="A120" s="345"/>
      <c r="B120" s="498"/>
      <c r="C120" s="499">
        <f>IF('User defined standard values'!C17&lt;&gt;"",'User defined standard values'!C17,"")</f>
      </c>
      <c r="D120" s="491">
        <f>IF('User defined standard values'!D17&lt;&gt;"",'User defined standard values'!D17,"")</f>
      </c>
      <c r="E120" s="492">
        <f>IF('User defined standard values'!E17&lt;&gt;"",'User defined standard values'!E17,"")</f>
      </c>
      <c r="F120" s="492">
        <f>IF('User defined standard values'!F17&lt;&gt;"",'User defined standard values'!F17,"")</f>
      </c>
      <c r="G120" s="439">
        <f>IF('User defined standard values'!G17&lt;&gt;"",'User defined standard values'!G17,"")</f>
        <v>0</v>
      </c>
      <c r="H120" s="366">
        <f>IF('User defined standard values'!H17&lt;&gt;"",'User defined standard values'!H17,"")</f>
      </c>
      <c r="I120" s="351">
        <f>IF('User defined standard values'!I17&lt;&gt;"",'User defined standard values'!I17,"")</f>
      </c>
      <c r="J120" s="351">
        <f>IF('User defined standard values'!J17&lt;&gt;"",'User defined standard values'!J17,"")</f>
      </c>
      <c r="K120" s="500">
        <f>IF('User defined standard values'!K17&lt;&gt;"",'User defined standard values'!K17,"")</f>
        <v>0</v>
      </c>
      <c r="L120" s="351">
        <f>IF('User defined standard values'!L17&lt;&gt;"",'User defined standard values'!L17,"")</f>
      </c>
      <c r="M120" s="351">
        <f>IF('User defined standard values'!M17&lt;&gt;"",'User defined standard values'!M17,"")</f>
      </c>
      <c r="N120" s="492">
        <f>IF('User defined standard values'!N17&lt;&gt;"",'User defined standard values'!N17,"")</f>
      </c>
      <c r="O120" s="439">
        <f>IF('User defined standard values'!O17&lt;&gt;"",'User defined standard values'!O17,"")</f>
      </c>
      <c r="P120" s="351">
        <f>IF('User defined standard values'!P17&lt;&gt;"",'User defined standard values'!P17,"")</f>
      </c>
      <c r="Q120" s="351">
        <f>IF('User defined standard values'!Q17&lt;&gt;"",'User defined standard values'!Q17,"")</f>
      </c>
      <c r="R120" s="439">
        <f>IF('User defined standard values'!R17&lt;&gt;"",'User defined standard values'!R17,"")</f>
      </c>
      <c r="S120" s="497">
        <f>IF('User defined standard values'!S17&lt;&gt;"",'User defined standard values'!S17,"")</f>
      </c>
      <c r="T120" s="501">
        <f>IF('User defined standard values'!T17&lt;&gt;"",'User defined standard values'!T17,"")</f>
      </c>
    </row>
    <row r="121" spans="1:20" ht="12.75">
      <c r="A121" s="345"/>
      <c r="B121" s="498"/>
      <c r="C121" s="499">
        <f>IF('User defined standard values'!C18&lt;&gt;"",'User defined standard values'!C18,"")</f>
      </c>
      <c r="D121" s="491">
        <f>IF('User defined standard values'!D18&lt;&gt;"",'User defined standard values'!D18,"")</f>
      </c>
      <c r="E121" s="492">
        <f>IF('User defined standard values'!E18&lt;&gt;"",'User defined standard values'!E18,"")</f>
      </c>
      <c r="F121" s="492">
        <f>IF('User defined standard values'!F18&lt;&gt;"",'User defined standard values'!F18,"")</f>
      </c>
      <c r="G121" s="439">
        <f>IF('User defined standard values'!G18&lt;&gt;"",'User defined standard values'!G18,"")</f>
        <v>0</v>
      </c>
      <c r="H121" s="366">
        <f>IF('User defined standard values'!H18&lt;&gt;"",'User defined standard values'!H18,"")</f>
      </c>
      <c r="I121" s="351">
        <f>IF('User defined standard values'!I18&lt;&gt;"",'User defined standard values'!I18,"")</f>
      </c>
      <c r="J121" s="351">
        <f>IF('User defined standard values'!J18&lt;&gt;"",'User defined standard values'!J18,"")</f>
      </c>
      <c r="K121" s="500">
        <f>IF('User defined standard values'!K18&lt;&gt;"",'User defined standard values'!K18,"")</f>
        <v>0</v>
      </c>
      <c r="L121" s="351">
        <f>IF('User defined standard values'!L18&lt;&gt;"",'User defined standard values'!L18,"")</f>
      </c>
      <c r="M121" s="351">
        <f>IF('User defined standard values'!M18&lt;&gt;"",'User defined standard values'!M18,"")</f>
      </c>
      <c r="N121" s="492">
        <f>IF('User defined standard values'!N18&lt;&gt;"",'User defined standard values'!N18,"")</f>
      </c>
      <c r="O121" s="439">
        <f>IF('User defined standard values'!O18&lt;&gt;"",'User defined standard values'!O18,"")</f>
      </c>
      <c r="P121" s="351">
        <f>IF('User defined standard values'!P18&lt;&gt;"",'User defined standard values'!P18,"")</f>
      </c>
      <c r="Q121" s="351">
        <f>IF('User defined standard values'!Q18&lt;&gt;"",'User defined standard values'!Q18,"")</f>
      </c>
      <c r="R121" s="439">
        <f>IF('User defined standard values'!R18&lt;&gt;"",'User defined standard values'!R18,"")</f>
      </c>
      <c r="S121" s="497">
        <f>IF('User defined standard values'!S18&lt;&gt;"",'User defined standard values'!S18,"")</f>
      </c>
      <c r="T121" s="501">
        <f>IF('User defined standard values'!T18&lt;&gt;"",'User defined standard values'!T18,"")</f>
      </c>
    </row>
    <row r="122" spans="1:20" ht="12.75">
      <c r="A122" s="345"/>
      <c r="B122" s="498"/>
      <c r="C122" s="499">
        <f>IF('User defined standard values'!C19&lt;&gt;"",'User defined standard values'!C19,"")</f>
      </c>
      <c r="D122" s="491">
        <f>IF('User defined standard values'!D19&lt;&gt;"",'User defined standard values'!D19,"")</f>
      </c>
      <c r="E122" s="492">
        <f>IF('User defined standard values'!E19&lt;&gt;"",'User defined standard values'!E19,"")</f>
      </c>
      <c r="F122" s="492">
        <f>IF('User defined standard values'!F19&lt;&gt;"",'User defined standard values'!F19,"")</f>
      </c>
      <c r="G122" s="439">
        <f>IF('User defined standard values'!G19&lt;&gt;"",'User defined standard values'!G19,"")</f>
        <v>0</v>
      </c>
      <c r="H122" s="366">
        <f>IF('User defined standard values'!H19&lt;&gt;"",'User defined standard values'!H19,"")</f>
      </c>
      <c r="I122" s="351">
        <f>IF('User defined standard values'!I19&lt;&gt;"",'User defined standard values'!I19,"")</f>
      </c>
      <c r="J122" s="351">
        <f>IF('User defined standard values'!J19&lt;&gt;"",'User defined standard values'!J19,"")</f>
      </c>
      <c r="K122" s="500">
        <f>IF('User defined standard values'!K19&lt;&gt;"",'User defined standard values'!K19,"")</f>
        <v>0</v>
      </c>
      <c r="L122" s="351">
        <f>IF('User defined standard values'!L19&lt;&gt;"",'User defined standard values'!L19,"")</f>
      </c>
      <c r="M122" s="351">
        <f>IF('User defined standard values'!M19&lt;&gt;"",'User defined standard values'!M19,"")</f>
      </c>
      <c r="N122" s="492">
        <f>IF('User defined standard values'!N19&lt;&gt;"",'User defined standard values'!N19,"")</f>
      </c>
      <c r="O122" s="439">
        <f>IF('User defined standard values'!O19&lt;&gt;"",'User defined standard values'!O19,"")</f>
      </c>
      <c r="P122" s="351">
        <f>IF('User defined standard values'!P19&lt;&gt;"",'User defined standard values'!P19,"")</f>
      </c>
      <c r="Q122" s="351">
        <f>IF('User defined standard values'!Q19&lt;&gt;"",'User defined standard values'!Q19,"")</f>
      </c>
      <c r="R122" s="439">
        <f>IF('User defined standard values'!R19&lt;&gt;"",'User defined standard values'!R19,"")</f>
      </c>
      <c r="S122" s="497">
        <f>IF('User defined standard values'!S19&lt;&gt;"",'User defined standard values'!S19,"")</f>
      </c>
      <c r="T122" s="501">
        <f>IF('User defined standard values'!T19&lt;&gt;"",'User defined standard values'!T19,"")</f>
      </c>
    </row>
    <row r="123" spans="1:20" ht="12.75">
      <c r="A123" s="345"/>
      <c r="B123" s="498"/>
      <c r="C123" s="499">
        <f>IF('User defined standard values'!C20&lt;&gt;"",'User defined standard values'!C20,"")</f>
      </c>
      <c r="D123" s="491">
        <f>IF('User defined standard values'!D20&lt;&gt;"",'User defined standard values'!D20,"")</f>
      </c>
      <c r="E123" s="492">
        <f>IF('User defined standard values'!E20&lt;&gt;"",'User defined standard values'!E20,"")</f>
      </c>
      <c r="F123" s="492">
        <f>IF('User defined standard values'!F20&lt;&gt;"",'User defined standard values'!F20,"")</f>
      </c>
      <c r="G123" s="439">
        <f>IF('User defined standard values'!G20&lt;&gt;"",'User defined standard values'!G20,"")</f>
        <v>0</v>
      </c>
      <c r="H123" s="366">
        <f>IF('User defined standard values'!H20&lt;&gt;"",'User defined standard values'!H20,"")</f>
      </c>
      <c r="I123" s="351">
        <f>IF('User defined standard values'!I20&lt;&gt;"",'User defined standard values'!I20,"")</f>
      </c>
      <c r="J123" s="351">
        <f>IF('User defined standard values'!J20&lt;&gt;"",'User defined standard values'!J20,"")</f>
      </c>
      <c r="K123" s="500">
        <f>IF('User defined standard values'!K20&lt;&gt;"",'User defined standard values'!K20,"")</f>
        <v>0</v>
      </c>
      <c r="L123" s="351">
        <f>IF('User defined standard values'!L20&lt;&gt;"",'User defined standard values'!L20,"")</f>
      </c>
      <c r="M123" s="351">
        <f>IF('User defined standard values'!M20&lt;&gt;"",'User defined standard values'!M20,"")</f>
      </c>
      <c r="N123" s="492">
        <f>IF('User defined standard values'!N20&lt;&gt;"",'User defined standard values'!N20,"")</f>
      </c>
      <c r="O123" s="439">
        <f>IF('User defined standard values'!O20&lt;&gt;"",'User defined standard values'!O20,"")</f>
      </c>
      <c r="P123" s="351">
        <f>IF('User defined standard values'!P20&lt;&gt;"",'User defined standard values'!P20,"")</f>
      </c>
      <c r="Q123" s="351">
        <f>IF('User defined standard values'!Q20&lt;&gt;"",'User defined standard values'!Q20,"")</f>
      </c>
      <c r="R123" s="439">
        <f>IF('User defined standard values'!R20&lt;&gt;"",'User defined standard values'!R20,"")</f>
      </c>
      <c r="S123" s="497">
        <f>IF('User defined standard values'!S20&lt;&gt;"",'User defined standard values'!S20,"")</f>
      </c>
      <c r="T123" s="501">
        <f>IF('User defined standard values'!T20&lt;&gt;"",'User defined standard values'!T20,"")</f>
      </c>
    </row>
    <row r="124" spans="1:20" ht="12.75">
      <c r="A124" s="345"/>
      <c r="B124" s="498"/>
      <c r="C124" s="499">
        <f>IF('User defined standard values'!C21&lt;&gt;"",'User defined standard values'!C21,"")</f>
      </c>
      <c r="D124" s="491">
        <f>IF('User defined standard values'!D21&lt;&gt;"",'User defined standard values'!D21,"")</f>
      </c>
      <c r="E124" s="492">
        <f>IF('User defined standard values'!E21&lt;&gt;"",'User defined standard values'!E21,"")</f>
      </c>
      <c r="F124" s="492">
        <f>IF('User defined standard values'!F21&lt;&gt;"",'User defined standard values'!F21,"")</f>
      </c>
      <c r="G124" s="439">
        <f>IF('User defined standard values'!G21&lt;&gt;"",'User defined standard values'!G21,"")</f>
        <v>0</v>
      </c>
      <c r="H124" s="366">
        <f>IF('User defined standard values'!H21&lt;&gt;"",'User defined standard values'!H21,"")</f>
      </c>
      <c r="I124" s="351">
        <f>IF('User defined standard values'!I21&lt;&gt;"",'User defined standard values'!I21,"")</f>
      </c>
      <c r="J124" s="351">
        <f>IF('User defined standard values'!J21&lt;&gt;"",'User defined standard values'!J21,"")</f>
      </c>
      <c r="K124" s="500">
        <f>IF('User defined standard values'!K21&lt;&gt;"",'User defined standard values'!K21,"")</f>
        <v>0</v>
      </c>
      <c r="L124" s="351">
        <f>IF('User defined standard values'!L21&lt;&gt;"",'User defined standard values'!L21,"")</f>
      </c>
      <c r="M124" s="351">
        <f>IF('User defined standard values'!M21&lt;&gt;"",'User defined standard values'!M21,"")</f>
      </c>
      <c r="N124" s="492">
        <f>IF('User defined standard values'!N21&lt;&gt;"",'User defined standard values'!N21,"")</f>
      </c>
      <c r="O124" s="439">
        <f>IF('User defined standard values'!O21&lt;&gt;"",'User defined standard values'!O21,"")</f>
      </c>
      <c r="P124" s="351">
        <f>IF('User defined standard values'!P21&lt;&gt;"",'User defined standard values'!P21,"")</f>
      </c>
      <c r="Q124" s="351">
        <f>IF('User defined standard values'!Q21&lt;&gt;"",'User defined standard values'!Q21,"")</f>
      </c>
      <c r="R124" s="439">
        <f>IF('User defined standard values'!R21&lt;&gt;"",'User defined standard values'!R21,"")</f>
      </c>
      <c r="S124" s="497">
        <f>IF('User defined standard values'!S21&lt;&gt;"",'User defined standard values'!S21,"")</f>
      </c>
      <c r="T124" s="501">
        <f>IF('User defined standard values'!T21&lt;&gt;"",'User defined standard values'!T21,"")</f>
      </c>
    </row>
    <row r="125" spans="1:20" ht="12.75">
      <c r="A125" s="345"/>
      <c r="B125" s="498"/>
      <c r="C125" s="499">
        <f>IF('User defined standard values'!C22&lt;&gt;"",'User defined standard values'!C22,"")</f>
      </c>
      <c r="D125" s="491">
        <f>IF('User defined standard values'!D22&lt;&gt;"",'User defined standard values'!D22,"")</f>
      </c>
      <c r="E125" s="492">
        <f>IF('User defined standard values'!E22&lt;&gt;"",'User defined standard values'!E22,"")</f>
      </c>
      <c r="F125" s="492">
        <f>IF('User defined standard values'!F22&lt;&gt;"",'User defined standard values'!F22,"")</f>
      </c>
      <c r="G125" s="439">
        <f>IF('User defined standard values'!G22&lt;&gt;"",'User defined standard values'!G22,"")</f>
        <v>0</v>
      </c>
      <c r="H125" s="366">
        <f>IF('User defined standard values'!H22&lt;&gt;"",'User defined standard values'!H22,"")</f>
      </c>
      <c r="I125" s="351">
        <f>IF('User defined standard values'!I22&lt;&gt;"",'User defined standard values'!I22,"")</f>
      </c>
      <c r="J125" s="351">
        <f>IF('User defined standard values'!J22&lt;&gt;"",'User defined standard values'!J22,"")</f>
      </c>
      <c r="K125" s="500">
        <f>IF('User defined standard values'!K22&lt;&gt;"",'User defined standard values'!K22,"")</f>
        <v>0</v>
      </c>
      <c r="L125" s="351">
        <f>IF('User defined standard values'!L22&lt;&gt;"",'User defined standard values'!L22,"")</f>
      </c>
      <c r="M125" s="351">
        <f>IF('User defined standard values'!M22&lt;&gt;"",'User defined standard values'!M22,"")</f>
      </c>
      <c r="N125" s="492">
        <f>IF('User defined standard values'!N22&lt;&gt;"",'User defined standard values'!N22,"")</f>
      </c>
      <c r="O125" s="439">
        <f>IF('User defined standard values'!O22&lt;&gt;"",'User defined standard values'!O22,"")</f>
      </c>
      <c r="P125" s="351">
        <f>IF('User defined standard values'!P22&lt;&gt;"",'User defined standard values'!P22,"")</f>
      </c>
      <c r="Q125" s="351">
        <f>IF('User defined standard values'!Q22&lt;&gt;"",'User defined standard values'!Q22,"")</f>
      </c>
      <c r="R125" s="439">
        <f>IF('User defined standard values'!R22&lt;&gt;"",'User defined standard values'!R22,"")</f>
      </c>
      <c r="S125" s="497">
        <f>IF('User defined standard values'!S22&lt;&gt;"",'User defined standard values'!S22,"")</f>
      </c>
      <c r="T125" s="501">
        <f>IF('User defined standard values'!T22&lt;&gt;"",'User defined standard values'!T22,"")</f>
      </c>
    </row>
    <row r="126" spans="1:20" ht="12.75">
      <c r="A126" s="345"/>
      <c r="B126" s="498"/>
      <c r="C126" s="499">
        <f>IF('User defined standard values'!C23&lt;&gt;"",'User defined standard values'!C23,"")</f>
      </c>
      <c r="D126" s="491">
        <f>IF('User defined standard values'!D23&lt;&gt;"",'User defined standard values'!D23,"")</f>
      </c>
      <c r="E126" s="492">
        <f>IF('User defined standard values'!E23&lt;&gt;"",'User defined standard values'!E23,"")</f>
      </c>
      <c r="F126" s="492">
        <f>IF('User defined standard values'!F23&lt;&gt;"",'User defined standard values'!F23,"")</f>
      </c>
      <c r="G126" s="439">
        <f>IF('User defined standard values'!G23&lt;&gt;"",'User defined standard values'!G23,"")</f>
        <v>0</v>
      </c>
      <c r="H126" s="366">
        <f>IF('User defined standard values'!H23&lt;&gt;"",'User defined standard values'!H23,"")</f>
      </c>
      <c r="I126" s="351">
        <f>IF('User defined standard values'!I23&lt;&gt;"",'User defined standard values'!I23,"")</f>
      </c>
      <c r="J126" s="351">
        <f>IF('User defined standard values'!J23&lt;&gt;"",'User defined standard values'!J23,"")</f>
      </c>
      <c r="K126" s="500">
        <f>IF('User defined standard values'!K23&lt;&gt;"",'User defined standard values'!K23,"")</f>
        <v>0</v>
      </c>
      <c r="L126" s="351">
        <f>IF('User defined standard values'!L23&lt;&gt;"",'User defined standard values'!L23,"")</f>
      </c>
      <c r="M126" s="351">
        <f>IF('User defined standard values'!M23&lt;&gt;"",'User defined standard values'!M23,"")</f>
      </c>
      <c r="N126" s="492">
        <f>IF('User defined standard values'!N23&lt;&gt;"",'User defined standard values'!N23,"")</f>
      </c>
      <c r="O126" s="439">
        <f>IF('User defined standard values'!O23&lt;&gt;"",'User defined standard values'!O23,"")</f>
      </c>
      <c r="P126" s="351">
        <f>IF('User defined standard values'!P23&lt;&gt;"",'User defined standard values'!P23,"")</f>
      </c>
      <c r="Q126" s="351">
        <f>IF('User defined standard values'!Q23&lt;&gt;"",'User defined standard values'!Q23,"")</f>
      </c>
      <c r="R126" s="439">
        <f>IF('User defined standard values'!R23&lt;&gt;"",'User defined standard values'!R23,"")</f>
      </c>
      <c r="S126" s="497">
        <f>IF('User defined standard values'!S23&lt;&gt;"",'User defined standard values'!S23,"")</f>
      </c>
      <c r="T126" s="501">
        <f>IF('User defined standard values'!T23&lt;&gt;"",'User defined standard values'!T23,"")</f>
      </c>
    </row>
    <row r="127" spans="1:20" ht="12.75">
      <c r="A127" s="345"/>
      <c r="B127" s="498"/>
      <c r="C127" s="499">
        <f>IF('User defined standard values'!C24&lt;&gt;"",'User defined standard values'!C24,"")</f>
      </c>
      <c r="D127" s="491">
        <f>IF('User defined standard values'!D24&lt;&gt;"",'User defined standard values'!D24,"")</f>
      </c>
      <c r="E127" s="492">
        <f>IF('User defined standard values'!E24&lt;&gt;"",'User defined standard values'!E24,"")</f>
      </c>
      <c r="F127" s="492">
        <f>IF('User defined standard values'!F24&lt;&gt;"",'User defined standard values'!F24,"")</f>
      </c>
      <c r="G127" s="439">
        <f>IF('User defined standard values'!G24&lt;&gt;"",'User defined standard values'!G24,"")</f>
        <v>0</v>
      </c>
      <c r="H127" s="366">
        <f>IF('User defined standard values'!H24&lt;&gt;"",'User defined standard values'!H24,"")</f>
      </c>
      <c r="I127" s="351">
        <f>IF('User defined standard values'!I24&lt;&gt;"",'User defined standard values'!I24,"")</f>
      </c>
      <c r="J127" s="351">
        <f>IF('User defined standard values'!J24&lt;&gt;"",'User defined standard values'!J24,"")</f>
      </c>
      <c r="K127" s="500">
        <f>IF('User defined standard values'!K24&lt;&gt;"",'User defined standard values'!K24,"")</f>
        <v>0</v>
      </c>
      <c r="L127" s="351">
        <f>IF('User defined standard values'!L24&lt;&gt;"",'User defined standard values'!L24,"")</f>
      </c>
      <c r="M127" s="351">
        <f>IF('User defined standard values'!M24&lt;&gt;"",'User defined standard values'!M24,"")</f>
      </c>
      <c r="N127" s="492">
        <f>IF('User defined standard values'!N24&lt;&gt;"",'User defined standard values'!N24,"")</f>
      </c>
      <c r="O127" s="439">
        <f>IF('User defined standard values'!O24&lt;&gt;"",'User defined standard values'!O24,"")</f>
      </c>
      <c r="P127" s="351">
        <f>IF('User defined standard values'!P24&lt;&gt;"",'User defined standard values'!P24,"")</f>
      </c>
      <c r="Q127" s="351">
        <f>IF('User defined standard values'!Q24&lt;&gt;"",'User defined standard values'!Q24,"")</f>
      </c>
      <c r="R127" s="439">
        <f>IF('User defined standard values'!R24&lt;&gt;"",'User defined standard values'!R24,"")</f>
      </c>
      <c r="S127" s="497">
        <f>IF('User defined standard values'!S24&lt;&gt;"",'User defined standard values'!S24,"")</f>
      </c>
      <c r="T127" s="501">
        <f>IF('User defined standard values'!T24&lt;&gt;"",'User defined standard values'!T24,"")</f>
      </c>
    </row>
    <row r="128" spans="1:20" ht="12.75">
      <c r="A128" s="345"/>
      <c r="B128" s="498"/>
      <c r="C128" s="499">
        <f>IF('User defined standard values'!C25&lt;&gt;"",'User defined standard values'!C25,"")</f>
      </c>
      <c r="D128" s="491">
        <f>IF('User defined standard values'!D25&lt;&gt;"",'User defined standard values'!D25,"")</f>
      </c>
      <c r="E128" s="492">
        <f>IF('User defined standard values'!E25&lt;&gt;"",'User defined standard values'!E25,"")</f>
      </c>
      <c r="F128" s="492">
        <f>IF('User defined standard values'!F25&lt;&gt;"",'User defined standard values'!F25,"")</f>
      </c>
      <c r="G128" s="439">
        <f>IF('User defined standard values'!G25&lt;&gt;"",'User defined standard values'!G25,"")</f>
        <v>0</v>
      </c>
      <c r="H128" s="366">
        <f>IF('User defined standard values'!H25&lt;&gt;"",'User defined standard values'!H25,"")</f>
      </c>
      <c r="I128" s="351">
        <f>IF('User defined standard values'!I25&lt;&gt;"",'User defined standard values'!I25,"")</f>
      </c>
      <c r="J128" s="351">
        <f>IF('User defined standard values'!J25&lt;&gt;"",'User defined standard values'!J25,"")</f>
      </c>
      <c r="K128" s="500">
        <f>IF('User defined standard values'!K25&lt;&gt;"",'User defined standard values'!K25,"")</f>
        <v>0</v>
      </c>
      <c r="L128" s="351">
        <f>IF('User defined standard values'!L25&lt;&gt;"",'User defined standard values'!L25,"")</f>
      </c>
      <c r="M128" s="351">
        <f>IF('User defined standard values'!M25&lt;&gt;"",'User defined standard values'!M25,"")</f>
      </c>
      <c r="N128" s="492">
        <f>IF('User defined standard values'!N25&lt;&gt;"",'User defined standard values'!N25,"")</f>
      </c>
      <c r="O128" s="439">
        <f>IF('User defined standard values'!O25&lt;&gt;"",'User defined standard values'!O25,"")</f>
      </c>
      <c r="P128" s="351">
        <f>IF('User defined standard values'!P25&lt;&gt;"",'User defined standard values'!P25,"")</f>
      </c>
      <c r="Q128" s="351">
        <f>IF('User defined standard values'!Q25&lt;&gt;"",'User defined standard values'!Q25,"")</f>
      </c>
      <c r="R128" s="439">
        <f>IF('User defined standard values'!R25&lt;&gt;"",'User defined standard values'!R25,"")</f>
      </c>
      <c r="S128" s="497">
        <f>IF('User defined standard values'!S25&lt;&gt;"",'User defined standard values'!S25,"")</f>
      </c>
      <c r="T128" s="501">
        <f>IF('User defined standard values'!T25&lt;&gt;"",'User defined standard values'!T25,"")</f>
      </c>
    </row>
    <row r="129" spans="1:20" ht="12.75">
      <c r="A129" s="345"/>
      <c r="B129" s="498"/>
      <c r="C129" s="499">
        <f>IF('User defined standard values'!C26&lt;&gt;"",'User defined standard values'!C26,"")</f>
      </c>
      <c r="D129" s="491">
        <f>IF('User defined standard values'!D26&lt;&gt;"",'User defined standard values'!D26,"")</f>
      </c>
      <c r="E129" s="492">
        <f>IF('User defined standard values'!E26&lt;&gt;"",'User defined standard values'!E26,"")</f>
      </c>
      <c r="F129" s="492">
        <f>IF('User defined standard values'!F26&lt;&gt;"",'User defined standard values'!F26,"")</f>
      </c>
      <c r="G129" s="439">
        <f>IF('User defined standard values'!G26&lt;&gt;"",'User defined standard values'!G26,"")</f>
        <v>0</v>
      </c>
      <c r="H129" s="366">
        <f>IF('User defined standard values'!H26&lt;&gt;"",'User defined standard values'!H26,"")</f>
      </c>
      <c r="I129" s="351">
        <f>IF('User defined standard values'!I26&lt;&gt;"",'User defined standard values'!I26,"")</f>
      </c>
      <c r="J129" s="351">
        <f>IF('User defined standard values'!J26&lt;&gt;"",'User defined standard values'!J26,"")</f>
      </c>
      <c r="K129" s="500">
        <f>IF('User defined standard values'!K26&lt;&gt;"",'User defined standard values'!K26,"")</f>
        <v>0</v>
      </c>
      <c r="L129" s="351">
        <f>IF('User defined standard values'!L26&lt;&gt;"",'User defined standard values'!L26,"")</f>
      </c>
      <c r="M129" s="351">
        <f>IF('User defined standard values'!M26&lt;&gt;"",'User defined standard values'!M26,"")</f>
      </c>
      <c r="N129" s="492">
        <f>IF('User defined standard values'!N26&lt;&gt;"",'User defined standard values'!N26,"")</f>
      </c>
      <c r="O129" s="439">
        <f>IF('User defined standard values'!O26&lt;&gt;"",'User defined standard values'!O26,"")</f>
      </c>
      <c r="P129" s="351">
        <f>IF('User defined standard values'!P26&lt;&gt;"",'User defined standard values'!P26,"")</f>
      </c>
      <c r="Q129" s="351">
        <f>IF('User defined standard values'!Q26&lt;&gt;"",'User defined standard values'!Q26,"")</f>
      </c>
      <c r="R129" s="439">
        <f>IF('User defined standard values'!R26&lt;&gt;"",'User defined standard values'!R26,"")</f>
      </c>
      <c r="S129" s="497">
        <f>IF('User defined standard values'!S26&lt;&gt;"",'User defined standard values'!S26,"")</f>
      </c>
      <c r="T129" s="501">
        <f>IF('User defined standard values'!T26&lt;&gt;"",'User defined standard values'!T26,"")</f>
      </c>
    </row>
    <row r="130" spans="1:20" ht="12.75">
      <c r="A130" s="345"/>
      <c r="B130" s="498"/>
      <c r="C130" s="499">
        <f>IF('User defined standard values'!C27&lt;&gt;"",'User defined standard values'!C27,"")</f>
      </c>
      <c r="D130" s="491">
        <f>IF('User defined standard values'!D27&lt;&gt;"",'User defined standard values'!D27,"")</f>
      </c>
      <c r="E130" s="492">
        <f>IF('User defined standard values'!E27&lt;&gt;"",'User defined standard values'!E27,"")</f>
      </c>
      <c r="F130" s="492">
        <f>IF('User defined standard values'!F27&lt;&gt;"",'User defined standard values'!F27,"")</f>
      </c>
      <c r="G130" s="439">
        <f>IF('User defined standard values'!G27&lt;&gt;"",'User defined standard values'!G27,"")</f>
        <v>0</v>
      </c>
      <c r="H130" s="366">
        <f>IF('User defined standard values'!H27&lt;&gt;"",'User defined standard values'!H27,"")</f>
      </c>
      <c r="I130" s="351">
        <f>IF('User defined standard values'!I27&lt;&gt;"",'User defined standard values'!I27,"")</f>
      </c>
      <c r="J130" s="351">
        <f>IF('User defined standard values'!J27&lt;&gt;"",'User defined standard values'!J27,"")</f>
      </c>
      <c r="K130" s="500">
        <f>IF('User defined standard values'!K27&lt;&gt;"",'User defined standard values'!K27,"")</f>
        <v>0</v>
      </c>
      <c r="L130" s="351">
        <f>IF('User defined standard values'!L27&lt;&gt;"",'User defined standard values'!L27,"")</f>
      </c>
      <c r="M130" s="351">
        <f>IF('User defined standard values'!M27&lt;&gt;"",'User defined standard values'!M27,"")</f>
      </c>
      <c r="N130" s="492">
        <f>IF('User defined standard values'!N27&lt;&gt;"",'User defined standard values'!N27,"")</f>
      </c>
      <c r="O130" s="439">
        <f>IF('User defined standard values'!O27&lt;&gt;"",'User defined standard values'!O27,"")</f>
      </c>
      <c r="P130" s="351">
        <f>IF('User defined standard values'!P27&lt;&gt;"",'User defined standard values'!P27,"")</f>
      </c>
      <c r="Q130" s="351">
        <f>IF('User defined standard values'!Q27&lt;&gt;"",'User defined standard values'!Q27,"")</f>
      </c>
      <c r="R130" s="439">
        <f>IF('User defined standard values'!R27&lt;&gt;"",'User defined standard values'!R27,"")</f>
      </c>
      <c r="S130" s="497">
        <f>IF('User defined standard values'!S27&lt;&gt;"",'User defined standard values'!S27,"")</f>
      </c>
      <c r="T130" s="501">
        <f>IF('User defined standard values'!T27&lt;&gt;"",'User defined standard values'!T27,"")</f>
      </c>
    </row>
    <row r="131" spans="1:20" ht="13.5" thickBot="1">
      <c r="A131" s="345"/>
      <c r="B131" s="417"/>
      <c r="C131" s="422"/>
      <c r="D131" s="435"/>
      <c r="E131" s="419"/>
      <c r="F131" s="419"/>
      <c r="G131" s="422"/>
      <c r="H131" s="418"/>
      <c r="I131" s="419"/>
      <c r="J131" s="419"/>
      <c r="K131" s="422"/>
      <c r="L131" s="418"/>
      <c r="M131" s="419"/>
      <c r="N131" s="419"/>
      <c r="O131" s="422"/>
      <c r="P131" s="420"/>
      <c r="Q131" s="421"/>
      <c r="R131" s="440"/>
      <c r="S131" s="443"/>
      <c r="T131" s="502"/>
    </row>
    <row r="132" ht="12.75">
      <c r="S132" s="363"/>
    </row>
    <row r="138" ht="12.75" hidden="1"/>
    <row r="139" spans="1:11" ht="12.75" hidden="1">
      <c r="A139" s="108" t="s">
        <v>154</v>
      </c>
      <c r="C139" s="109" t="s">
        <v>155</v>
      </c>
      <c r="D139" s="109"/>
      <c r="E139" s="109"/>
      <c r="F139" s="109"/>
      <c r="G139" s="109"/>
      <c r="H139" s="109"/>
      <c r="I139" s="109"/>
      <c r="J139" s="109"/>
      <c r="K139" s="109"/>
    </row>
    <row r="140" spans="3:13" ht="12.75" hidden="1">
      <c r="C140" s="108" t="s">
        <v>156</v>
      </c>
      <c r="L140" s="108">
        <v>3600</v>
      </c>
      <c r="M140" s="108" t="s">
        <v>157</v>
      </c>
    </row>
    <row r="141" ht="12.75" hidden="1"/>
    <row r="142" spans="3:28" ht="12.75" hidden="1">
      <c r="C142" s="108" t="s">
        <v>158</v>
      </c>
      <c r="L142" s="108">
        <v>51.7</v>
      </c>
      <c r="M142" s="108" t="s">
        <v>159</v>
      </c>
      <c r="N142" s="112">
        <f>L142*L14</f>
        <v>2532.8140200000003</v>
      </c>
      <c r="O142" s="108" t="s">
        <v>160</v>
      </c>
      <c r="P142" s="108">
        <f>N142/$L$140*1000</f>
        <v>703.5594500000001</v>
      </c>
      <c r="S142" s="109" t="s">
        <v>161</v>
      </c>
      <c r="V142" s="108">
        <f aca="true" t="shared" si="1" ref="V142:V147">P142/$L$149</f>
        <v>1866.1567170179774</v>
      </c>
      <c r="W142" s="109" t="s">
        <v>162</v>
      </c>
      <c r="Y142" s="108">
        <f aca="true" t="shared" si="2" ref="Y142:Y147">V142/26.8</f>
        <v>69.63271332156631</v>
      </c>
      <c r="Z142" s="108" t="s">
        <v>163</v>
      </c>
      <c r="AA142" s="109">
        <f aca="true" t="shared" si="3" ref="AA142:AA147">Y142*0.6</f>
        <v>41.77962799293979</v>
      </c>
      <c r="AB142" s="108" t="s">
        <v>164</v>
      </c>
    </row>
    <row r="143" spans="3:27" ht="12.75" hidden="1">
      <c r="C143" s="108" t="s">
        <v>165</v>
      </c>
      <c r="L143" s="108">
        <v>25.8</v>
      </c>
      <c r="M143" s="108" t="s">
        <v>166</v>
      </c>
      <c r="N143" s="112">
        <f>L143*L16</f>
        <v>249.71716800000002</v>
      </c>
      <c r="P143" s="108">
        <f>N143/$L$140*1000</f>
        <v>69.36588</v>
      </c>
      <c r="S143" s="109" t="s">
        <v>161</v>
      </c>
      <c r="V143" s="108">
        <f t="shared" si="1"/>
        <v>183.9895731538578</v>
      </c>
      <c r="W143" s="109" t="s">
        <v>162</v>
      </c>
      <c r="Y143" s="108">
        <f t="shared" si="2"/>
        <v>6.865282580367828</v>
      </c>
      <c r="AA143" s="109">
        <f t="shared" si="3"/>
        <v>4.119169548220697</v>
      </c>
    </row>
    <row r="144" spans="3:27" ht="12.75" hidden="1">
      <c r="C144" s="108" t="s">
        <v>167</v>
      </c>
      <c r="L144" s="108">
        <v>34.5</v>
      </c>
      <c r="M144" s="108" t="s">
        <v>168</v>
      </c>
      <c r="N144" s="112">
        <f>L144*L15</f>
        <v>525.5523</v>
      </c>
      <c r="P144" s="108">
        <f>N144/$L$140*1000</f>
        <v>145.98675</v>
      </c>
      <c r="S144" s="109" t="s">
        <v>161</v>
      </c>
      <c r="V144" s="108">
        <f t="shared" si="1"/>
        <v>387.2226492134022</v>
      </c>
      <c r="W144" s="109" t="s">
        <v>162</v>
      </c>
      <c r="Y144" s="108">
        <f t="shared" si="2"/>
        <v>14.448606313932917</v>
      </c>
      <c r="AA144" s="109">
        <f t="shared" si="3"/>
        <v>8.66916378835975</v>
      </c>
    </row>
    <row r="145" spans="3:28" ht="12.75" hidden="1">
      <c r="C145" s="108" t="s">
        <v>169</v>
      </c>
      <c r="L145" s="108">
        <v>2.4</v>
      </c>
      <c r="M145" s="108" t="s">
        <v>157</v>
      </c>
      <c r="N145" s="112">
        <f>L145*L18</f>
        <v>644.15952</v>
      </c>
      <c r="P145" s="108">
        <f>N145/$L$140*1000</f>
        <v>178.93320000000003</v>
      </c>
      <c r="S145" s="109" t="s">
        <v>161</v>
      </c>
      <c r="V145" s="108">
        <f t="shared" si="1"/>
        <v>474.61148176962325</v>
      </c>
      <c r="W145" s="109" t="s">
        <v>162</v>
      </c>
      <c r="Y145" s="108">
        <f t="shared" si="2"/>
        <v>17.70938364812027</v>
      </c>
      <c r="AA145" s="109">
        <f t="shared" si="3"/>
        <v>10.625630188872162</v>
      </c>
      <c r="AB145" s="113"/>
    </row>
    <row r="146" spans="3:27" ht="12.75" hidden="1">
      <c r="C146" s="108" t="s">
        <v>170</v>
      </c>
      <c r="L146" s="108">
        <v>0.014</v>
      </c>
      <c r="M146" s="108" t="s">
        <v>171</v>
      </c>
      <c r="N146" s="108">
        <f>L146*296</f>
        <v>4.144</v>
      </c>
      <c r="O146" s="108" t="s">
        <v>172</v>
      </c>
      <c r="P146" s="108" t="e">
        <f>N146*1000*#REF!/1000</f>
        <v>#REF!</v>
      </c>
      <c r="S146" s="109" t="s">
        <v>161</v>
      </c>
      <c r="V146" s="108" t="e">
        <f t="shared" si="1"/>
        <v>#REF!</v>
      </c>
      <c r="Y146" s="108" t="e">
        <f t="shared" si="2"/>
        <v>#REF!</v>
      </c>
      <c r="AA146" s="109" t="e">
        <f t="shared" si="3"/>
        <v>#REF!</v>
      </c>
    </row>
    <row r="147" spans="3:27" ht="12.75" hidden="1">
      <c r="C147" s="108" t="s">
        <v>173</v>
      </c>
      <c r="L147" s="108">
        <v>50</v>
      </c>
      <c r="M147" s="108" t="s">
        <v>34</v>
      </c>
      <c r="N147" s="108" t="s">
        <v>174</v>
      </c>
      <c r="P147" s="108">
        <f>L147*P87*M33/1000</f>
        <v>0.054288</v>
      </c>
      <c r="S147" s="109" t="s">
        <v>161</v>
      </c>
      <c r="V147" s="108">
        <f t="shared" si="1"/>
        <v>0.14399624062113292</v>
      </c>
      <c r="W147" s="109" t="s">
        <v>162</v>
      </c>
      <c r="Y147" s="108">
        <f t="shared" si="2"/>
        <v>0.005372994053027348</v>
      </c>
      <c r="AA147" s="109">
        <f t="shared" si="3"/>
        <v>0.0032237964318164087</v>
      </c>
    </row>
    <row r="148" spans="12:27" ht="12.75" hidden="1">
      <c r="L148" s="114" t="e">
        <f>1/L149*#REF!</f>
        <v>#REF!</v>
      </c>
      <c r="M148" s="114" t="s">
        <v>175</v>
      </c>
      <c r="AA148" s="109"/>
    </row>
    <row r="149" spans="3:27" ht="12.75" hidden="1">
      <c r="C149" s="108" t="s">
        <v>176</v>
      </c>
      <c r="L149" s="108">
        <f>2.53*3.785/25.4</f>
        <v>0.37700984251968506</v>
      </c>
      <c r="M149" s="108" t="s">
        <v>177</v>
      </c>
      <c r="AA149" s="109"/>
    </row>
    <row r="150" spans="3:27" ht="12.75" hidden="1">
      <c r="C150" s="108" t="s">
        <v>178</v>
      </c>
      <c r="L150" s="108">
        <v>1.2</v>
      </c>
      <c r="M150" s="108" t="s">
        <v>179</v>
      </c>
      <c r="N150" s="108">
        <f>L150/3.785</f>
        <v>0.31704095112285335</v>
      </c>
      <c r="O150" s="108" t="s">
        <v>180</v>
      </c>
      <c r="P150" s="108">
        <f>N150/0.794</f>
        <v>0.3992959082151805</v>
      </c>
      <c r="S150" s="108" t="s">
        <v>40</v>
      </c>
      <c r="T150" s="109">
        <f>1000*P150*3.6*M68/1000</f>
        <v>3.874112648030639</v>
      </c>
      <c r="V150" s="108">
        <f>T150</f>
        <v>3.874112648030639</v>
      </c>
      <c r="W150" s="109" t="s">
        <v>162</v>
      </c>
      <c r="Y150" s="108">
        <f>V150/26.8</f>
        <v>0.14455644209069549</v>
      </c>
      <c r="AA150" s="109">
        <f>Y150*0.6</f>
        <v>0.08673386525441729</v>
      </c>
    </row>
    <row r="151" spans="3:27" ht="12.75" hidden="1">
      <c r="C151" s="108" t="s">
        <v>181</v>
      </c>
      <c r="L151" s="108">
        <v>37000</v>
      </c>
      <c r="M151" s="108" t="s">
        <v>182</v>
      </c>
      <c r="N151" s="108">
        <v>0.266</v>
      </c>
      <c r="O151" s="108" t="s">
        <v>183</v>
      </c>
      <c r="P151" s="108">
        <f>L151/947/3.785</f>
        <v>10.322523047822575</v>
      </c>
      <c r="S151" s="108" t="s">
        <v>184</v>
      </c>
      <c r="T151" s="108">
        <f>P151/0.794*1000</f>
        <v>13000.658750406265</v>
      </c>
      <c r="U151" s="108" t="s">
        <v>161</v>
      </c>
      <c r="V151" s="108" t="e">
        <f>#REF!</f>
        <v>#REF!</v>
      </c>
      <c r="W151" s="109" t="s">
        <v>162</v>
      </c>
      <c r="Y151" s="108" t="e">
        <f>V151/26.8</f>
        <v>#REF!</v>
      </c>
      <c r="AA151" s="109" t="e">
        <f>Y151*0.6</f>
        <v>#REF!</v>
      </c>
    </row>
    <row r="152" ht="12.75" hidden="1"/>
    <row r="153" spans="3:19" ht="12.75" hidden="1">
      <c r="C153" s="108" t="s">
        <v>186</v>
      </c>
      <c r="L153" s="108">
        <v>1.1</v>
      </c>
      <c r="M153" s="108" t="s">
        <v>187</v>
      </c>
      <c r="N153" s="108">
        <f>1000*L153/0.794</f>
        <v>1385.3904282115868</v>
      </c>
      <c r="O153" s="108" t="s">
        <v>188</v>
      </c>
      <c r="P153" s="108">
        <f>N153*O56/1000</f>
        <v>22.166246851385388</v>
      </c>
      <c r="S153" s="108" t="s">
        <v>189</v>
      </c>
    </row>
    <row r="154" spans="14:15" ht="12.75" hidden="1">
      <c r="N154" s="108">
        <f>N153/1000*O56</f>
        <v>22.166246851385388</v>
      </c>
      <c r="O154" s="108" t="s">
        <v>175</v>
      </c>
    </row>
    <row r="155" spans="3:27" ht="12.75" hidden="1">
      <c r="C155" s="108" t="s">
        <v>190</v>
      </c>
      <c r="L155" s="108">
        <v>150</v>
      </c>
      <c r="M155" s="108" t="s">
        <v>34</v>
      </c>
      <c r="N155" s="108" t="s">
        <v>191</v>
      </c>
      <c r="V155" s="108">
        <f>L155*P87*M33/1000</f>
        <v>0.162864</v>
      </c>
      <c r="W155" s="109" t="s">
        <v>162</v>
      </c>
      <c r="Y155" s="109">
        <f>V155/26.8</f>
        <v>0.006077014925373134</v>
      </c>
      <c r="AA155" s="109">
        <f>Y155</f>
        <v>0.006077014925373134</v>
      </c>
    </row>
    <row r="156" ht="12.75" hidden="1"/>
    <row r="157" spans="3:27" ht="12.75" hidden="1">
      <c r="C157" s="108" t="s">
        <v>193</v>
      </c>
      <c r="L157" s="108">
        <v>0.00084</v>
      </c>
      <c r="M157" s="108" t="s">
        <v>194</v>
      </c>
      <c r="Y157" s="109">
        <f>L157*$M$68</f>
        <v>0.0022638840000000003</v>
      </c>
      <c r="AA157" s="109">
        <f>Y157</f>
        <v>0.0022638840000000003</v>
      </c>
    </row>
    <row r="158" spans="3:27" ht="12.75" hidden="1">
      <c r="C158" s="108" t="s">
        <v>195</v>
      </c>
      <c r="L158" s="108">
        <v>0.0034</v>
      </c>
      <c r="M158" s="108" t="s">
        <v>194</v>
      </c>
      <c r="Y158" s="109">
        <f>L158*$M$68</f>
        <v>0.009163339999999999</v>
      </c>
      <c r="AA158" s="109">
        <f>Y158</f>
        <v>0.009163339999999999</v>
      </c>
    </row>
    <row r="159" ht="12.75" hidden="1"/>
    <row r="160" spans="24:28" ht="12.75" hidden="1">
      <c r="X160" s="109" t="s">
        <v>196</v>
      </c>
      <c r="AA160" s="109" t="e">
        <f>SUM(AA142:AA159)</f>
        <v>#REF!</v>
      </c>
      <c r="AB160" s="108" t="s">
        <v>164</v>
      </c>
    </row>
    <row r="161" spans="1:27" ht="12.75" hidden="1">
      <c r="A161" s="108" t="s">
        <v>197</v>
      </c>
      <c r="C161" s="108" t="s">
        <v>156</v>
      </c>
      <c r="L161" s="108">
        <v>5200</v>
      </c>
      <c r="M161" s="108" t="s">
        <v>157</v>
      </c>
      <c r="AA161" s="115" t="e">
        <f>1-AA160/83.3</f>
        <v>#REF!</v>
      </c>
    </row>
    <row r="162" ht="12.75" hidden="1">
      <c r="U162" s="109"/>
    </row>
    <row r="163" spans="3:23" ht="12.75" hidden="1">
      <c r="C163" s="108" t="s">
        <v>198</v>
      </c>
      <c r="L163" s="108">
        <v>3716</v>
      </c>
      <c r="M163" s="108" t="s">
        <v>199</v>
      </c>
      <c r="N163" s="108">
        <f>L163*M33/1000/L161*1000</f>
        <v>0.8289538461538462</v>
      </c>
      <c r="O163" s="108" t="s">
        <v>200</v>
      </c>
      <c r="P163" s="108">
        <f>N163*L176</f>
        <v>2.5117301538461536</v>
      </c>
      <c r="S163" s="108" t="s">
        <v>201</v>
      </c>
      <c r="U163" s="109" t="e">
        <f>P163/#REF!</f>
        <v>#REF!</v>
      </c>
      <c r="V163" s="108" t="s">
        <v>202</v>
      </c>
      <c r="W163" s="108" t="e">
        <f>0.6*U163</f>
        <v>#REF!</v>
      </c>
    </row>
    <row r="164" spans="3:23" ht="12.75" hidden="1">
      <c r="C164" s="108" t="s">
        <v>203</v>
      </c>
      <c r="L164" s="108">
        <v>109.3</v>
      </c>
      <c r="M164" s="108" t="s">
        <v>159</v>
      </c>
      <c r="N164" s="108">
        <f>L164*L14</f>
        <v>5354.67258</v>
      </c>
      <c r="P164" s="108">
        <f>N164/L161*1000</f>
        <v>1029.744726923077</v>
      </c>
      <c r="S164" s="108" t="s">
        <v>201</v>
      </c>
      <c r="U164" s="109" t="e">
        <f>P164/#REF!</f>
        <v>#REF!</v>
      </c>
      <c r="W164" s="108" t="e">
        <f>0.6*U164</f>
        <v>#REF!</v>
      </c>
    </row>
    <row r="165" spans="3:23" ht="12.75" hidden="1">
      <c r="C165" s="108" t="s">
        <v>204</v>
      </c>
      <c r="L165" s="108">
        <v>16.4</v>
      </c>
      <c r="M165" s="108" t="s">
        <v>205</v>
      </c>
      <c r="N165" s="108">
        <f>L165*L16</f>
        <v>158.73494399999998</v>
      </c>
      <c r="P165" s="108">
        <f>N165*$L$176</f>
        <v>480.9668803199999</v>
      </c>
      <c r="U165" s="109" t="e">
        <f>P165/#REF!</f>
        <v>#REF!</v>
      </c>
      <c r="W165" s="108" t="e">
        <f>0.6*U165</f>
        <v>#REF!</v>
      </c>
    </row>
    <row r="166" spans="3:23" ht="12.75" hidden="1">
      <c r="C166" s="108" t="s">
        <v>206</v>
      </c>
      <c r="L166" s="108">
        <v>21.6</v>
      </c>
      <c r="M166" s="108" t="s">
        <v>207</v>
      </c>
      <c r="N166" s="108">
        <f>L166*L15</f>
        <v>329.04144</v>
      </c>
      <c r="P166" s="108">
        <f>N166*$L$176</f>
        <v>996.9955632</v>
      </c>
      <c r="U166" s="109" t="e">
        <f>P166/#REF!</f>
        <v>#REF!</v>
      </c>
      <c r="W166" s="108" t="e">
        <f>0.6*U166</f>
        <v>#REF!</v>
      </c>
    </row>
    <row r="167" spans="3:24" ht="12.75" hidden="1">
      <c r="C167" s="108" t="s">
        <v>169</v>
      </c>
      <c r="L167" s="108">
        <v>2.3</v>
      </c>
      <c r="M167" s="108" t="s">
        <v>157</v>
      </c>
      <c r="N167" s="108">
        <f>L167*L18</f>
        <v>617.31954</v>
      </c>
      <c r="P167" s="108">
        <f>N167*$L$176</f>
        <v>1870.4782061999997</v>
      </c>
      <c r="U167" s="109" t="e">
        <f>P167/#REF!</f>
        <v>#REF!</v>
      </c>
      <c r="W167" s="108" t="e">
        <f>0.6*U167</f>
        <v>#REF!</v>
      </c>
      <c r="X167" s="113"/>
    </row>
    <row r="168" spans="3:21" ht="12.75" hidden="1">
      <c r="C168" s="108" t="s">
        <v>208</v>
      </c>
      <c r="L168" s="108">
        <v>120</v>
      </c>
      <c r="M168" s="108" t="s">
        <v>157</v>
      </c>
      <c r="U168" s="109"/>
    </row>
    <row r="169" ht="12.75" hidden="1">
      <c r="U169" s="109"/>
    </row>
    <row r="170" spans="3:23" ht="12.75" hidden="1">
      <c r="C170" s="108" t="s">
        <v>170</v>
      </c>
      <c r="L170" s="108">
        <v>0.024</v>
      </c>
      <c r="M170" s="108" t="s">
        <v>209</v>
      </c>
      <c r="N170" s="108" t="e">
        <f>L170*296*#REF!</f>
        <v>#REF!</v>
      </c>
      <c r="O170" s="108" t="s">
        <v>200</v>
      </c>
      <c r="P170" s="108" t="e">
        <f>N170*$L$176</f>
        <v>#REF!</v>
      </c>
      <c r="U170" s="109" t="e">
        <f>P170/#REF!</f>
        <v>#REF!</v>
      </c>
      <c r="W170" s="108" t="e">
        <f>0.6*U170</f>
        <v>#REF!</v>
      </c>
    </row>
    <row r="171" ht="12.75" hidden="1">
      <c r="U171" s="109"/>
    </row>
    <row r="172" spans="3:23" ht="12.75" hidden="1">
      <c r="C172" s="108" t="s">
        <v>210</v>
      </c>
      <c r="L172" s="108">
        <v>0.0004</v>
      </c>
      <c r="M172" s="108" t="s">
        <v>211</v>
      </c>
      <c r="N172" s="108">
        <f>L172*M69</f>
        <v>0.0010910000000000002</v>
      </c>
      <c r="O172" s="108" t="s">
        <v>212</v>
      </c>
      <c r="P172" s="108" t="e">
        <f>#REF!*N172</f>
        <v>#REF!</v>
      </c>
      <c r="S172" s="108" t="s">
        <v>201</v>
      </c>
      <c r="U172" s="109">
        <f>L172*M69</f>
        <v>0.0010910000000000002</v>
      </c>
      <c r="W172" s="108">
        <f>0.6*U172</f>
        <v>0.0006546000000000001</v>
      </c>
    </row>
    <row r="173" ht="12.75" hidden="1"/>
    <row r="174" spans="3:23" ht="12.75" hidden="1">
      <c r="C174" s="108" t="s">
        <v>213</v>
      </c>
      <c r="L174" s="108">
        <v>50</v>
      </c>
      <c r="M174" s="108" t="s">
        <v>214</v>
      </c>
      <c r="N174" s="108">
        <f>L174*2*P87*M33/1000</f>
        <v>0.108576</v>
      </c>
      <c r="O174" s="108" t="s">
        <v>200</v>
      </c>
      <c r="P174" s="108">
        <f>N174*L176</f>
        <v>0.32898528</v>
      </c>
      <c r="S174" s="108" t="s">
        <v>201</v>
      </c>
      <c r="U174" s="109" t="e">
        <f>P174/#REF!</f>
        <v>#REF!</v>
      </c>
      <c r="W174" s="108" t="e">
        <f>0.6*U174</f>
        <v>#REF!</v>
      </c>
    </row>
    <row r="175" ht="12.75" hidden="1"/>
    <row r="176" spans="3:15" ht="12.75" hidden="1">
      <c r="C176" s="108" t="s">
        <v>215</v>
      </c>
      <c r="L176" s="108">
        <v>3.03</v>
      </c>
      <c r="M176" s="108" t="s">
        <v>216</v>
      </c>
      <c r="O176" s="113">
        <f>26.8/(26.8+1.14*16)</f>
        <v>0.5950266429840142</v>
      </c>
    </row>
    <row r="177" spans="3:13" ht="12.75" hidden="1">
      <c r="C177" s="108" t="s">
        <v>217</v>
      </c>
      <c r="L177" s="108">
        <v>1.14</v>
      </c>
      <c r="M177" s="108" t="s">
        <v>218</v>
      </c>
    </row>
    <row r="178" ht="12.75" hidden="1"/>
    <row r="179" spans="3:23" ht="12.75" hidden="1">
      <c r="C179" s="108" t="s">
        <v>219</v>
      </c>
      <c r="L179" s="108">
        <v>18.2</v>
      </c>
      <c r="M179" s="108" t="s">
        <v>175</v>
      </c>
      <c r="N179" s="108">
        <f>L179*M29</f>
        <v>20.53142</v>
      </c>
      <c r="O179" s="108" t="s">
        <v>162</v>
      </c>
      <c r="U179" s="109" t="e">
        <f>N179/#REF!</f>
        <v>#REF!</v>
      </c>
      <c r="W179" s="108" t="e">
        <f>0.6*U179</f>
        <v>#REF!</v>
      </c>
    </row>
    <row r="180" ht="12.75" hidden="1"/>
    <row r="181" spans="3:21" ht="12.75" hidden="1">
      <c r="C181" s="108" t="s">
        <v>220</v>
      </c>
      <c r="L181" s="108">
        <v>150</v>
      </c>
      <c r="M181" s="108" t="s">
        <v>34</v>
      </c>
      <c r="N181" s="108">
        <f>L181*P87*M33/1000</f>
        <v>0.162864</v>
      </c>
      <c r="U181" s="109" t="e">
        <f>N181/#REF!</f>
        <v>#REF!</v>
      </c>
    </row>
    <row r="182" ht="12.75" hidden="1"/>
    <row r="183" spans="3:23" ht="12.75" hidden="1">
      <c r="C183" s="108" t="s">
        <v>221</v>
      </c>
      <c r="L183" s="108">
        <v>0.00084</v>
      </c>
      <c r="M183" s="108" t="s">
        <v>183</v>
      </c>
      <c r="W183" s="108">
        <f>L183*$M$69</f>
        <v>0.0022911000000000003</v>
      </c>
    </row>
    <row r="184" spans="3:23" ht="12.75" hidden="1">
      <c r="C184" s="108" t="s">
        <v>222</v>
      </c>
      <c r="L184" s="108">
        <v>0.0034</v>
      </c>
      <c r="M184" s="108" t="s">
        <v>183</v>
      </c>
      <c r="W184" s="108">
        <f>L184*$M$69</f>
        <v>0.009273499999999999</v>
      </c>
    </row>
    <row r="185" ht="12.75" hidden="1"/>
    <row r="186" spans="22:23" ht="12.75" hidden="1">
      <c r="V186" s="108" t="s">
        <v>196</v>
      </c>
      <c r="W186" s="109" t="e">
        <f>SUM(W163:W185)</f>
        <v>#REF!</v>
      </c>
    </row>
    <row r="187" spans="23:24" ht="12.75" hidden="1">
      <c r="W187" s="108">
        <v>83.8</v>
      </c>
      <c r="X187" s="108" t="s">
        <v>223</v>
      </c>
    </row>
    <row r="188" ht="12.75" hidden="1">
      <c r="W188" s="115" t="e">
        <f>1-W186/W187</f>
        <v>#REF!</v>
      </c>
    </row>
    <row r="189" ht="12.75" hidden="1"/>
    <row r="190" ht="12.75" hidden="1"/>
    <row r="191" ht="12.75" hidden="1"/>
    <row r="192" spans="20:21" ht="12.75" hidden="1">
      <c r="T192" s="108" t="s">
        <v>224</v>
      </c>
      <c r="U192" s="108" t="s">
        <v>227</v>
      </c>
    </row>
    <row r="193" spans="19:21" ht="12.75" hidden="1">
      <c r="S193" s="108" t="s">
        <v>154</v>
      </c>
      <c r="T193" s="116">
        <v>0.56</v>
      </c>
      <c r="U193" s="116">
        <v>0.6</v>
      </c>
    </row>
    <row r="194" spans="19:21" ht="12.75" hidden="1">
      <c r="S194" s="108" t="s">
        <v>197</v>
      </c>
      <c r="T194" s="116">
        <v>0.53</v>
      </c>
      <c r="U194" s="116">
        <v>0.48</v>
      </c>
    </row>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sheetData>
  <sheetProtection password="9D8F" sheet="1" objects="1" scenarios="1"/>
  <mergeCells count="9">
    <mergeCell ref="B4:C4"/>
    <mergeCell ref="Q4:R4"/>
    <mergeCell ref="D5:K5"/>
    <mergeCell ref="L5:M5"/>
    <mergeCell ref="B109:C109"/>
    <mergeCell ref="B103:C103"/>
    <mergeCell ref="Q5:R5"/>
    <mergeCell ref="B95:C95"/>
    <mergeCell ref="B98:C98"/>
  </mergeCells>
  <conditionalFormatting sqref="D131:R131 S97:S98 D7:T8 S94:S95 S103:S130">
    <cfRule type="cellIs" priority="1" dxfId="0" operator="equal" stopIfTrue="1">
      <formula>"N.A."</formula>
    </cfRule>
  </conditionalFormatting>
  <printOptions/>
  <pageMargins left="0.75" right="0.75" top="1" bottom="1" header="0.5" footer="0.5"/>
  <pageSetup fitToHeight="0" fitToWidth="1" horizontalDpi="600" verticalDpi="600" orientation="landscape" paperSize="9" scale="31" r:id="rId4"/>
  <headerFooter alignWithMargins="0">
    <oddFooter>&amp;L&amp;8&amp;F&amp;C&amp;8&amp;A&amp;R&amp;8page&amp;P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Neeft</dc:creator>
  <cp:keywords/>
  <dc:description/>
  <cp:lastModifiedBy>Dina Bacovsky</cp:lastModifiedBy>
  <cp:lastPrinted>2010-07-29T14:09:14Z</cp:lastPrinted>
  <dcterms:created xsi:type="dcterms:W3CDTF">2008-11-26T21:14:37Z</dcterms:created>
  <dcterms:modified xsi:type="dcterms:W3CDTF">2010-09-07T07:41:39Z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1126503155</vt:i4>
  </property>
  <property fmtid="{D5CDD505-2E9C-101B-9397-08002B2CF9AE}" pid="3" name="_EmailSubject">
    <vt:lpwstr>Two Excel Files</vt:lpwstr>
  </property>
  <property fmtid="{D5CDD505-2E9C-101B-9397-08002B2CF9AE}" pid="4" name="_AuthorEmail">
    <vt:lpwstr>john.neeft@agentschapnl.nl</vt:lpwstr>
  </property>
  <property fmtid="{D5CDD505-2E9C-101B-9397-08002B2CF9AE}" pid="5" name="_AuthorEmailDisplayName">
    <vt:lpwstr>Neeft, John</vt:lpwstr>
  </property>
  <property fmtid="{D5CDD505-2E9C-101B-9397-08002B2CF9AE}" pid="6" name="_ReviewingToolsShownOnce">
    <vt:lpwstr/>
  </property>
</Properties>
</file>